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Heleen\Globesight Dropbox\Projects\2021\EnviroGistics\Beeshoek\Beeshoek reports\Report Final\"/>
    </mc:Choice>
  </mc:AlternateContent>
  <xr:revisionPtr revIDLastSave="0" documentId="13_ncr:1_{B703124C-D7C5-48BA-A109-7F8880CA02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ummary" sheetId="11" r:id="rId1"/>
    <sheet name="Annual Rehabilitation Plan" sheetId="2" r:id="rId2"/>
    <sheet name="Final Rehabilitation Plan" sheetId="13" r:id="rId3"/>
    <sheet name="Itemised Rates - June 2021" sheetId="1" r:id="rId4"/>
    <sheet name="Rate Calculations" sheetId="1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" i="2" l="1"/>
  <c r="E28" i="2"/>
  <c r="E27" i="2"/>
  <c r="E23" i="2"/>
  <c r="E21" i="2"/>
  <c r="E17" i="2"/>
  <c r="E16" i="2"/>
  <c r="E15" i="2"/>
  <c r="E14" i="2"/>
  <c r="E13" i="2"/>
  <c r="E12" i="2"/>
  <c r="E9" i="2"/>
  <c r="E7" i="2"/>
  <c r="E5" i="2"/>
  <c r="E106" i="13"/>
  <c r="E105" i="13"/>
  <c r="E104" i="13"/>
  <c r="E103" i="13"/>
  <c r="E101" i="13"/>
  <c r="E99" i="13"/>
  <c r="E97" i="13"/>
  <c r="E95" i="13"/>
  <c r="E94" i="13"/>
  <c r="E91" i="13"/>
  <c r="E89" i="13"/>
  <c r="E86" i="13"/>
  <c r="E85" i="13"/>
  <c r="E84" i="13"/>
  <c r="E83" i="13"/>
  <c r="E82" i="13"/>
  <c r="E81" i="13"/>
  <c r="E79" i="13"/>
  <c r="E78" i="13"/>
  <c r="E77" i="13"/>
  <c r="E73" i="13"/>
  <c r="E72" i="13"/>
  <c r="E70" i="13"/>
  <c r="E69" i="13"/>
  <c r="E68" i="13"/>
  <c r="E67" i="13"/>
  <c r="E66" i="13"/>
  <c r="E62" i="13"/>
  <c r="E61" i="13"/>
  <c r="E60" i="13"/>
  <c r="E59" i="13"/>
  <c r="E57" i="13"/>
  <c r="E56" i="13"/>
  <c r="E55" i="13"/>
  <c r="E54" i="13"/>
  <c r="E50" i="13"/>
  <c r="E47" i="13"/>
  <c r="E44" i="13"/>
  <c r="E43" i="13"/>
  <c r="E40" i="13"/>
  <c r="E38" i="13"/>
  <c r="E35" i="13"/>
  <c r="E32" i="13"/>
  <c r="E29" i="13"/>
  <c r="E28" i="13"/>
  <c r="E27" i="13"/>
  <c r="E25" i="13"/>
  <c r="E24" i="13"/>
  <c r="E23" i="13"/>
  <c r="E20" i="13"/>
  <c r="E18" i="13"/>
  <c r="E15" i="13"/>
  <c r="E13" i="13"/>
  <c r="E10" i="13"/>
  <c r="E7" i="13"/>
  <c r="E6" i="13"/>
  <c r="B5" i="2" l="1"/>
  <c r="D43" i="13"/>
  <c r="B9" i="2"/>
  <c r="D47" i="13"/>
  <c r="E30" i="2"/>
  <c r="E29" i="2"/>
  <c r="E183" i="14"/>
  <c r="G183" i="14" s="1"/>
  <c r="G185" i="14" s="1"/>
  <c r="G186" i="14" s="1"/>
  <c r="B16" i="11" l="1"/>
  <c r="B11" i="11" s="1"/>
  <c r="B25" i="11"/>
  <c r="B20" i="11" s="1"/>
  <c r="B29" i="11"/>
  <c r="B27" i="11" s="1"/>
  <c r="B18" i="11"/>
  <c r="B15" i="11"/>
  <c r="C29" i="1" l="1"/>
  <c r="F12" i="2" s="1"/>
  <c r="F30" i="2"/>
  <c r="A30" i="2"/>
  <c r="B30" i="2"/>
  <c r="B27" i="2"/>
  <c r="B28" i="2"/>
  <c r="F25" i="2" l="1"/>
  <c r="D7" i="2"/>
  <c r="A106" i="13" l="1"/>
  <c r="B106" i="13"/>
  <c r="C42" i="1"/>
  <c r="C41" i="1"/>
  <c r="F106" i="13" s="1"/>
  <c r="F105" i="13" l="1"/>
  <c r="B105" i="13"/>
  <c r="AO105" i="13"/>
  <c r="AL105" i="13"/>
  <c r="AF105" i="13"/>
  <c r="AC105" i="13"/>
  <c r="Z105" i="13"/>
  <c r="W105" i="13"/>
  <c r="T105" i="13"/>
  <c r="Q105" i="13"/>
  <c r="N105" i="13"/>
  <c r="K105" i="13"/>
  <c r="H105" i="13"/>
  <c r="G105" i="13"/>
  <c r="J105" i="13" s="1"/>
  <c r="AI105" i="13" l="1"/>
  <c r="L105" i="13"/>
  <c r="M105" i="13"/>
  <c r="I105" i="13"/>
  <c r="O105" i="13" l="1"/>
  <c r="P105" i="13"/>
  <c r="R105" i="13" l="1"/>
  <c r="S105" i="13"/>
  <c r="V105" i="13" l="1"/>
  <c r="U105" i="13"/>
  <c r="Y105" i="13" l="1"/>
  <c r="X105" i="13"/>
  <c r="AA105" i="13" l="1"/>
  <c r="AB105" i="13"/>
  <c r="AE105" i="13" l="1"/>
  <c r="AD105" i="13"/>
  <c r="AH105" i="13" l="1"/>
  <c r="AG105" i="13"/>
  <c r="AJ105" i="13" l="1"/>
  <c r="AK105" i="13"/>
  <c r="AN105" i="13" l="1"/>
  <c r="AP105" i="13" s="1"/>
  <c r="AM105" i="13"/>
  <c r="B29" i="2" l="1"/>
  <c r="B26" i="2"/>
  <c r="B25" i="2"/>
  <c r="B23" i="2"/>
  <c r="F29" i="2"/>
  <c r="F28" i="2"/>
  <c r="F27" i="2"/>
  <c r="F23" i="2" l="1"/>
  <c r="C33" i="1"/>
  <c r="C32" i="1"/>
  <c r="C31" i="1"/>
  <c r="C26" i="1"/>
  <c r="C24" i="1"/>
  <c r="C22" i="1"/>
  <c r="F9" i="2" s="1"/>
  <c r="C16" i="1"/>
  <c r="C15" i="1"/>
  <c r="F5" i="2" s="1"/>
  <c r="C14" i="1"/>
  <c r="C12" i="1"/>
  <c r="F19" i="2" s="1"/>
  <c r="C30" i="1"/>
  <c r="E218" i="14"/>
  <c r="E217" i="14"/>
  <c r="E216" i="14"/>
  <c r="E200" i="14"/>
  <c r="E199" i="14"/>
  <c r="E198" i="14"/>
  <c r="D156" i="14"/>
  <c r="G156" i="14" s="1"/>
  <c r="G157" i="14" s="1"/>
  <c r="E151" i="14"/>
  <c r="G151" i="14" s="1"/>
  <c r="E148" i="14"/>
  <c r="G148" i="14" s="1"/>
  <c r="E147" i="14"/>
  <c r="G147" i="14" s="1"/>
  <c r="E146" i="14"/>
  <c r="G146" i="14" s="1"/>
  <c r="E145" i="14"/>
  <c r="G145" i="14" s="1"/>
  <c r="E144" i="14"/>
  <c r="G144" i="14" s="1"/>
  <c r="G149" i="14" s="1"/>
  <c r="E119" i="14"/>
  <c r="G119" i="14" s="1"/>
  <c r="B121" i="14" s="1"/>
  <c r="B123" i="14" s="1"/>
  <c r="B124" i="14" s="1"/>
  <c r="C129" i="14" s="1"/>
  <c r="G100" i="14"/>
  <c r="E99" i="14"/>
  <c r="G99" i="14" s="1"/>
  <c r="G98" i="14"/>
  <c r="G97" i="14"/>
  <c r="D90" i="14"/>
  <c r="E96" i="14" s="1"/>
  <c r="G96" i="14" s="1"/>
  <c r="G101" i="14" s="1"/>
  <c r="G103" i="14" s="1"/>
  <c r="G104" i="14" s="1"/>
  <c r="C10" i="1" s="1"/>
  <c r="E81" i="14"/>
  <c r="G81" i="14" s="1"/>
  <c r="E80" i="14"/>
  <c r="G80" i="14" s="1"/>
  <c r="E79" i="14"/>
  <c r="G79" i="14" s="1"/>
  <c r="E78" i="14"/>
  <c r="G78" i="14" s="1"/>
  <c r="E77" i="14"/>
  <c r="G77" i="14" s="1"/>
  <c r="E76" i="14"/>
  <c r="G76" i="14" s="1"/>
  <c r="E58" i="14"/>
  <c r="G58" i="14" s="1"/>
  <c r="G57" i="14"/>
  <c r="E57" i="14"/>
  <c r="E56" i="14"/>
  <c r="G56" i="14" s="1"/>
  <c r="E55" i="14"/>
  <c r="G55" i="14" s="1"/>
  <c r="E54" i="14"/>
  <c r="G54" i="14" s="1"/>
  <c r="E36" i="14"/>
  <c r="G36" i="14" s="1"/>
  <c r="E35" i="14"/>
  <c r="G35" i="14" s="1"/>
  <c r="E34" i="14"/>
  <c r="G34" i="14" s="1"/>
  <c r="E33" i="14"/>
  <c r="G33" i="14" s="1"/>
  <c r="G17" i="14"/>
  <c r="E17" i="14"/>
  <c r="E16" i="14"/>
  <c r="G16" i="14" s="1"/>
  <c r="E15" i="14"/>
  <c r="G15" i="14" s="1"/>
  <c r="G14" i="14"/>
  <c r="E14" i="14"/>
  <c r="E13" i="14"/>
  <c r="G13" i="14" s="1"/>
  <c r="F14" i="2" l="1"/>
  <c r="F17" i="2"/>
  <c r="F16" i="2"/>
  <c r="F15" i="2"/>
  <c r="F13" i="2"/>
  <c r="C28" i="1"/>
  <c r="G153" i="14"/>
  <c r="G154" i="14" s="1"/>
  <c r="G159" i="14" s="1"/>
  <c r="G160" i="14" s="1"/>
  <c r="C20" i="1" s="1"/>
  <c r="F7" i="2" s="1"/>
  <c r="E201" i="14"/>
  <c r="E203" i="14" s="1"/>
  <c r="E204" i="14" s="1"/>
  <c r="G59" i="14"/>
  <c r="G61" i="14" s="1"/>
  <c r="G62" i="14" s="1"/>
  <c r="C6" i="1" s="1"/>
  <c r="G82" i="14"/>
  <c r="G84" i="14" s="1"/>
  <c r="G85" i="14" s="1"/>
  <c r="C8" i="1" s="1"/>
  <c r="E219" i="14"/>
  <c r="E221" i="14" s="1"/>
  <c r="E222" i="14" s="1"/>
  <c r="C18" i="1"/>
  <c r="C19" i="1" s="1"/>
  <c r="G18" i="14"/>
  <c r="G20" i="14" s="1"/>
  <c r="G21" i="14" s="1"/>
  <c r="C4" i="1" s="1"/>
  <c r="G37" i="14"/>
  <c r="G39" i="14" s="1"/>
  <c r="G40" i="14" s="1"/>
  <c r="C5" i="1" s="1"/>
  <c r="D84" i="13"/>
  <c r="D81" i="13"/>
  <c r="D68" i="13" l="1"/>
  <c r="D67" i="13"/>
  <c r="F86" i="13" l="1"/>
  <c r="D35" i="13" l="1"/>
  <c r="D20" i="13"/>
  <c r="D79" i="13" l="1"/>
  <c r="D78" i="13"/>
  <c r="D77" i="13"/>
  <c r="F77" i="13" l="1"/>
  <c r="F79" i="13"/>
  <c r="F78" i="13"/>
  <c r="D7" i="13"/>
  <c r="D72" i="13"/>
  <c r="D27" i="13"/>
  <c r="D40" i="13"/>
  <c r="D44" i="13"/>
  <c r="F21" i="2" l="1"/>
  <c r="D97" i="13" l="1"/>
  <c r="F95" i="13" l="1"/>
  <c r="F23" i="11" l="1"/>
  <c r="D29" i="13" l="1"/>
  <c r="D10" i="13"/>
  <c r="D50" i="13"/>
  <c r="D70" i="13" l="1"/>
  <c r="G50" i="13" l="1"/>
  <c r="G43" i="13"/>
  <c r="G83" i="13" l="1"/>
  <c r="J83" i="13" s="1"/>
  <c r="M83" i="13" s="1"/>
  <c r="P83" i="13" s="1"/>
  <c r="S83" i="13" s="1"/>
  <c r="V83" i="13" s="1"/>
  <c r="Y83" i="13" s="1"/>
  <c r="G81" i="13" l="1"/>
  <c r="J81" i="13" s="1"/>
  <c r="AO81" i="13" l="1"/>
  <c r="AL81" i="13"/>
  <c r="AL84" i="13" s="1"/>
  <c r="AF81" i="13"/>
  <c r="AO68" i="13"/>
  <c r="AL68" i="13"/>
  <c r="AF68" i="13"/>
  <c r="AO54" i="13"/>
  <c r="AL54" i="13"/>
  <c r="AL55" i="13" s="1"/>
  <c r="AF54" i="13"/>
  <c r="AC81" i="13"/>
  <c r="AC82" i="13" s="1"/>
  <c r="AC68" i="13"/>
  <c r="AC54" i="13"/>
  <c r="Z81" i="13"/>
  <c r="Z66" i="13"/>
  <c r="Z68" i="13"/>
  <c r="Z54" i="13"/>
  <c r="Z57" i="13" s="1"/>
  <c r="W81" i="13"/>
  <c r="W66" i="13"/>
  <c r="W68" i="13"/>
  <c r="W54" i="13"/>
  <c r="W57" i="13" s="1"/>
  <c r="T81" i="13"/>
  <c r="T84" i="13" s="1"/>
  <c r="T66" i="13"/>
  <c r="T68" i="13"/>
  <c r="T54" i="13"/>
  <c r="T60" i="13" s="1"/>
  <c r="Q81" i="13"/>
  <c r="Q83" i="13" s="1"/>
  <c r="Q66" i="13"/>
  <c r="Q73" i="13" s="1"/>
  <c r="Q68" i="13"/>
  <c r="Q54" i="13"/>
  <c r="Q61" i="13" s="1"/>
  <c r="N81" i="13"/>
  <c r="N68" i="13"/>
  <c r="N66" i="13"/>
  <c r="N73" i="13" s="1"/>
  <c r="N54" i="13"/>
  <c r="AO6" i="13"/>
  <c r="AO9" i="13" s="1"/>
  <c r="AL6" i="13"/>
  <c r="AL9" i="13" s="1"/>
  <c r="AF6" i="13"/>
  <c r="AF9" i="13" s="1"/>
  <c r="AC6" i="13"/>
  <c r="AC9" i="13" s="1"/>
  <c r="Z6" i="13"/>
  <c r="Z9" i="13" s="1"/>
  <c r="W6" i="13"/>
  <c r="W9" i="13" s="1"/>
  <c r="T9" i="13"/>
  <c r="T6" i="13"/>
  <c r="Q9" i="13"/>
  <c r="Q6" i="13"/>
  <c r="N9" i="13"/>
  <c r="N6" i="13"/>
  <c r="K9" i="13"/>
  <c r="K6" i="13"/>
  <c r="K81" i="13"/>
  <c r="K68" i="13"/>
  <c r="K66" i="13"/>
  <c r="K67" i="13" s="1"/>
  <c r="K54" i="13"/>
  <c r="K55" i="13" s="1"/>
  <c r="G85" i="13"/>
  <c r="J85" i="13" s="1"/>
  <c r="G84" i="13"/>
  <c r="J84" i="13" s="1"/>
  <c r="G82" i="13"/>
  <c r="J82" i="13" s="1"/>
  <c r="M82" i="13" s="1"/>
  <c r="G70" i="13"/>
  <c r="J70" i="13" s="1"/>
  <c r="M70" i="13" s="1"/>
  <c r="P70" i="13" s="1"/>
  <c r="G68" i="13"/>
  <c r="J68" i="13" s="1"/>
  <c r="M68" i="13" s="1"/>
  <c r="G62" i="13"/>
  <c r="J62" i="13" s="1"/>
  <c r="M62" i="13" s="1"/>
  <c r="P62" i="13" s="1"/>
  <c r="S62" i="13" s="1"/>
  <c r="V62" i="13" s="1"/>
  <c r="Y62" i="13" s="1"/>
  <c r="AB62" i="13" s="1"/>
  <c r="G61" i="13"/>
  <c r="J61" i="13" s="1"/>
  <c r="G59" i="13"/>
  <c r="J59" i="13" s="1"/>
  <c r="G57" i="13"/>
  <c r="J57" i="13" s="1"/>
  <c r="G56" i="13"/>
  <c r="J56" i="13" s="1"/>
  <c r="M56" i="13" s="1"/>
  <c r="P56" i="13" s="1"/>
  <c r="G55" i="13"/>
  <c r="J55" i="13" s="1"/>
  <c r="M55" i="13" s="1"/>
  <c r="P55" i="13" s="1"/>
  <c r="S55" i="13" s="1"/>
  <c r="J54" i="13"/>
  <c r="M54" i="13" s="1"/>
  <c r="P54" i="13" s="1"/>
  <c r="S54" i="13" s="1"/>
  <c r="V54" i="13" s="1"/>
  <c r="Y54" i="13" s="1"/>
  <c r="AB54" i="13" s="1"/>
  <c r="AE54" i="13" s="1"/>
  <c r="Q56" i="13" l="1"/>
  <c r="R56" i="13" s="1"/>
  <c r="N69" i="13"/>
  <c r="T56" i="13"/>
  <c r="AC83" i="13"/>
  <c r="T57" i="13"/>
  <c r="Q55" i="13"/>
  <c r="R55" i="13" s="1"/>
  <c r="K61" i="13"/>
  <c r="L61" i="13" s="1"/>
  <c r="W60" i="13"/>
  <c r="AC84" i="13"/>
  <c r="Q62" i="13"/>
  <c r="R62" i="13" s="1"/>
  <c r="AL61" i="13"/>
  <c r="AL85" i="13"/>
  <c r="O68" i="13"/>
  <c r="P68" i="13"/>
  <c r="R68" i="13" s="1"/>
  <c r="M61" i="13"/>
  <c r="P61" i="13" s="1"/>
  <c r="Z55" i="13"/>
  <c r="AL83" i="13"/>
  <c r="Q57" i="13"/>
  <c r="T82" i="13"/>
  <c r="Z56" i="13"/>
  <c r="Z83" i="13"/>
  <c r="AC85" i="13"/>
  <c r="AL56" i="13"/>
  <c r="Z61" i="13"/>
  <c r="T85" i="13"/>
  <c r="Z62" i="13"/>
  <c r="AA62" i="13" s="1"/>
  <c r="Z82" i="13"/>
  <c r="T83" i="13"/>
  <c r="AL59" i="13"/>
  <c r="V55" i="13"/>
  <c r="Y55" i="13" s="1"/>
  <c r="AB55" i="13" s="1"/>
  <c r="AG54" i="13"/>
  <c r="AH54" i="13"/>
  <c r="AK54" i="13" s="1"/>
  <c r="AN54" i="13" s="1"/>
  <c r="AP54" i="13" s="1"/>
  <c r="M59" i="13"/>
  <c r="P59" i="13" s="1"/>
  <c r="S59" i="13" s="1"/>
  <c r="V59" i="13" s="1"/>
  <c r="Y59" i="13" s="1"/>
  <c r="AB59" i="13" s="1"/>
  <c r="AE59" i="13" s="1"/>
  <c r="S56" i="13"/>
  <c r="V56" i="13" s="1"/>
  <c r="Y56" i="13" s="1"/>
  <c r="AB56" i="13" s="1"/>
  <c r="M57" i="13"/>
  <c r="AE62" i="13"/>
  <c r="AH62" i="13" s="1"/>
  <c r="AK62" i="13" s="1"/>
  <c r="AN62" i="13" s="1"/>
  <c r="S70" i="13"/>
  <c r="V70" i="13" s="1"/>
  <c r="Y70" i="13" s="1"/>
  <c r="AB70" i="13" s="1"/>
  <c r="AE70" i="13" s="1"/>
  <c r="AH70" i="13" s="1"/>
  <c r="AK70" i="13" s="1"/>
  <c r="AN70" i="13" s="1"/>
  <c r="O54" i="13"/>
  <c r="N62" i="13"/>
  <c r="O62" i="13" s="1"/>
  <c r="N56" i="13"/>
  <c r="O56" i="13" s="1"/>
  <c r="N61" i="13"/>
  <c r="N83" i="13"/>
  <c r="N85" i="13"/>
  <c r="W83" i="13"/>
  <c r="W85" i="13"/>
  <c r="AD54" i="13"/>
  <c r="AC61" i="13"/>
  <c r="AC55" i="13"/>
  <c r="AC62" i="13"/>
  <c r="AD62" i="13" s="1"/>
  <c r="K70" i="13"/>
  <c r="L70" i="13" s="1"/>
  <c r="N55" i="13"/>
  <c r="O55" i="13" s="1"/>
  <c r="N82" i="13"/>
  <c r="O82" i="13" s="1"/>
  <c r="W82" i="13"/>
  <c r="AC56" i="13"/>
  <c r="AF60" i="13"/>
  <c r="AF59" i="13"/>
  <c r="AF57" i="13"/>
  <c r="AF84" i="13"/>
  <c r="AF83" i="13"/>
  <c r="AF56" i="13"/>
  <c r="AF85" i="13"/>
  <c r="L55" i="13"/>
  <c r="N57" i="13"/>
  <c r="N84" i="13"/>
  <c r="Q70" i="13"/>
  <c r="R70" i="13" s="1"/>
  <c r="Q67" i="13"/>
  <c r="Q84" i="13"/>
  <c r="Q85" i="13"/>
  <c r="U60" i="13"/>
  <c r="X54" i="13"/>
  <c r="W62" i="13"/>
  <c r="X62" i="13" s="1"/>
  <c r="W56" i="13"/>
  <c r="W61" i="13"/>
  <c r="W84" i="13"/>
  <c r="AC57" i="13"/>
  <c r="AF61" i="13"/>
  <c r="K59" i="13"/>
  <c r="L59" i="13" s="1"/>
  <c r="K60" i="13"/>
  <c r="L60" i="13" s="1"/>
  <c r="K57" i="13"/>
  <c r="L57" i="13" s="1"/>
  <c r="N60" i="13"/>
  <c r="O60" i="13" s="1"/>
  <c r="N70" i="13"/>
  <c r="O70" i="13" s="1"/>
  <c r="N67" i="13"/>
  <c r="Q69" i="13"/>
  <c r="Q82" i="13"/>
  <c r="U54" i="13"/>
  <c r="T61" i="13"/>
  <c r="T55" i="13"/>
  <c r="U55" i="13" s="1"/>
  <c r="T62" i="13"/>
  <c r="U62" i="13" s="1"/>
  <c r="W55" i="13"/>
  <c r="Z84" i="13"/>
  <c r="Z85" i="13"/>
  <c r="AC60" i="13"/>
  <c r="AF62" i="13"/>
  <c r="L68" i="13"/>
  <c r="R54" i="13"/>
  <c r="Q60" i="13"/>
  <c r="R60" i="13" s="1"/>
  <c r="AA54" i="13"/>
  <c r="Z60" i="13"/>
  <c r="AL82" i="13"/>
  <c r="P82" i="13"/>
  <c r="M85" i="13"/>
  <c r="M84" i="13"/>
  <c r="K82" i="13"/>
  <c r="L82" i="13" s="1"/>
  <c r="K83" i="13"/>
  <c r="L83" i="13" s="1"/>
  <c r="K85" i="13"/>
  <c r="L85" i="13" s="1"/>
  <c r="T70" i="13"/>
  <c r="T73" i="13"/>
  <c r="W70" i="13"/>
  <c r="W69" i="13"/>
  <c r="AO61" i="13"/>
  <c r="AO56" i="13"/>
  <c r="AO60" i="13"/>
  <c r="AO59" i="13"/>
  <c r="AO85" i="13"/>
  <c r="AO83" i="13"/>
  <c r="AO84" i="13"/>
  <c r="T67" i="13"/>
  <c r="W67" i="13"/>
  <c r="Z70" i="13"/>
  <c r="Z67" i="13"/>
  <c r="AO55" i="13"/>
  <c r="K84" i="13"/>
  <c r="L84" i="13" s="1"/>
  <c r="T69" i="13"/>
  <c r="W73" i="13"/>
  <c r="Z69" i="13"/>
  <c r="AO57" i="13"/>
  <c r="AO82" i="13"/>
  <c r="K69" i="13"/>
  <c r="Z73" i="13"/>
  <c r="AO62" i="13"/>
  <c r="L54" i="13"/>
  <c r="K56" i="13"/>
  <c r="L56" i="13" s="1"/>
  <c r="K62" i="13"/>
  <c r="L62" i="13" s="1"/>
  <c r="AL62" i="13"/>
  <c r="AL57" i="13"/>
  <c r="AL60" i="13"/>
  <c r="N59" i="13"/>
  <c r="Q59" i="13"/>
  <c r="T59" i="13"/>
  <c r="W59" i="13"/>
  <c r="Z59" i="13"/>
  <c r="AC59" i="13"/>
  <c r="AF55" i="13"/>
  <c r="AF82" i="13"/>
  <c r="H68" i="13"/>
  <c r="I68" i="13" s="1"/>
  <c r="AA59" i="13" l="1"/>
  <c r="AD59" i="13"/>
  <c r="R59" i="13"/>
  <c r="X59" i="13"/>
  <c r="O59" i="13"/>
  <c r="X70" i="13"/>
  <c r="X55" i="13"/>
  <c r="AA55" i="13"/>
  <c r="AA70" i="13"/>
  <c r="S68" i="13"/>
  <c r="V68" i="13" s="1"/>
  <c r="AA56" i="13"/>
  <c r="U70" i="13"/>
  <c r="X56" i="13"/>
  <c r="AM62" i="13"/>
  <c r="O61" i="13"/>
  <c r="AP62" i="13"/>
  <c r="AD56" i="13"/>
  <c r="AE56" i="13"/>
  <c r="AH56" i="13" s="1"/>
  <c r="AK56" i="13" s="1"/>
  <c r="R61" i="13"/>
  <c r="S61" i="13"/>
  <c r="AM54" i="13"/>
  <c r="AG62" i="13"/>
  <c r="U56" i="13"/>
  <c r="AG59" i="13"/>
  <c r="AH59" i="13"/>
  <c r="AK59" i="13" s="1"/>
  <c r="AD55" i="13"/>
  <c r="AE55" i="13"/>
  <c r="AH55" i="13" s="1"/>
  <c r="AK55" i="13" s="1"/>
  <c r="U59" i="13"/>
  <c r="P57" i="13"/>
  <c r="O57" i="13"/>
  <c r="X60" i="13"/>
  <c r="AK60" i="13"/>
  <c r="AN60" i="13" s="1"/>
  <c r="AP60" i="13" s="1"/>
  <c r="O84" i="13"/>
  <c r="P84" i="13"/>
  <c r="S82" i="13"/>
  <c r="R82" i="13"/>
  <c r="O85" i="13"/>
  <c r="P85" i="13"/>
  <c r="O83" i="13"/>
  <c r="D73" i="13"/>
  <c r="G73" i="13" s="1"/>
  <c r="J73" i="13" s="1"/>
  <c r="M73" i="13" s="1"/>
  <c r="D66" i="13"/>
  <c r="G97" i="13"/>
  <c r="E11" i="2"/>
  <c r="F11" i="2" s="1"/>
  <c r="F31" i="2" s="1"/>
  <c r="AI70" i="13"/>
  <c r="AI54" i="13"/>
  <c r="G67" i="13"/>
  <c r="J67" i="13" s="1"/>
  <c r="B4" i="11" l="1"/>
  <c r="AI68" i="13"/>
  <c r="BF68" i="13"/>
  <c r="AI66" i="13"/>
  <c r="BF66" i="13"/>
  <c r="AI67" i="13"/>
  <c r="BF67" i="13"/>
  <c r="U68" i="13"/>
  <c r="AG56" i="13"/>
  <c r="AI57" i="13"/>
  <c r="AI62" i="13"/>
  <c r="AJ62" i="13" s="1"/>
  <c r="AI56" i="13"/>
  <c r="AJ56" i="13" s="1"/>
  <c r="AI61" i="13"/>
  <c r="AI60" i="13"/>
  <c r="AJ60" i="13" s="1"/>
  <c r="AI55" i="13"/>
  <c r="AJ55" i="13" s="1"/>
  <c r="AI59" i="13"/>
  <c r="AJ59" i="13" s="1"/>
  <c r="F81" i="13"/>
  <c r="AI81" i="13"/>
  <c r="AJ54" i="13"/>
  <c r="AD60" i="13"/>
  <c r="AM60" i="13"/>
  <c r="G66" i="13"/>
  <c r="J66" i="13" s="1"/>
  <c r="AG55" i="13"/>
  <c r="V61" i="13"/>
  <c r="U61" i="13"/>
  <c r="P73" i="13"/>
  <c r="O73" i="13"/>
  <c r="AN59" i="13"/>
  <c r="AP59" i="13" s="1"/>
  <c r="AM59" i="13"/>
  <c r="AN55" i="13"/>
  <c r="AP55" i="13" s="1"/>
  <c r="AM55" i="13"/>
  <c r="AN56" i="13"/>
  <c r="AP56" i="13" s="1"/>
  <c r="AM56" i="13"/>
  <c r="S57" i="13"/>
  <c r="R57" i="13"/>
  <c r="M67" i="13"/>
  <c r="L67" i="13"/>
  <c r="AG60" i="13"/>
  <c r="Y68" i="13"/>
  <c r="X68" i="13"/>
  <c r="AA60" i="13"/>
  <c r="S85" i="13"/>
  <c r="R85" i="13"/>
  <c r="U82" i="13"/>
  <c r="V82" i="13"/>
  <c r="S84" i="13"/>
  <c r="R84" i="13"/>
  <c r="R83" i="13"/>
  <c r="L81" i="13"/>
  <c r="M81" i="13"/>
  <c r="F62" i="13"/>
  <c r="F85" i="13"/>
  <c r="F68" i="13"/>
  <c r="F70" i="13"/>
  <c r="G9" i="13"/>
  <c r="J9" i="13" s="1"/>
  <c r="G6" i="13"/>
  <c r="J6" i="13" s="1"/>
  <c r="F60" i="13"/>
  <c r="F61" i="13"/>
  <c r="F67" i="13"/>
  <c r="F73" i="13"/>
  <c r="AI84" i="13" l="1"/>
  <c r="AI83" i="13"/>
  <c r="AI85" i="13"/>
  <c r="AI82" i="13"/>
  <c r="L66" i="13"/>
  <c r="M66" i="13"/>
  <c r="P66" i="13" s="1"/>
  <c r="S73" i="13"/>
  <c r="R73" i="13"/>
  <c r="V57" i="13"/>
  <c r="U57" i="13"/>
  <c r="P67" i="13"/>
  <c r="O67" i="13"/>
  <c r="AA68" i="13"/>
  <c r="AB68" i="13"/>
  <c r="O66" i="13"/>
  <c r="Y61" i="13"/>
  <c r="X61" i="13"/>
  <c r="X82" i="13"/>
  <c r="Y82" i="13"/>
  <c r="V84" i="13"/>
  <c r="U84" i="13"/>
  <c r="U85" i="13"/>
  <c r="V85" i="13"/>
  <c r="U83" i="13"/>
  <c r="O81" i="13"/>
  <c r="P81" i="13"/>
  <c r="L9" i="13"/>
  <c r="M9" i="13"/>
  <c r="L6" i="13"/>
  <c r="M6" i="13"/>
  <c r="G25" i="13"/>
  <c r="AA61" i="13" l="1"/>
  <c r="AB61" i="13"/>
  <c r="Y57" i="13"/>
  <c r="X57" i="13"/>
  <c r="AD68" i="13"/>
  <c r="AE68" i="13"/>
  <c r="S66" i="13"/>
  <c r="R66" i="13"/>
  <c r="S67" i="13"/>
  <c r="R67" i="13"/>
  <c r="V73" i="13"/>
  <c r="U73" i="13"/>
  <c r="Y84" i="13"/>
  <c r="X84" i="13"/>
  <c r="X85" i="13"/>
  <c r="Y85" i="13"/>
  <c r="AB82" i="13"/>
  <c r="AA82" i="13"/>
  <c r="X83" i="13"/>
  <c r="R81" i="13"/>
  <c r="S81" i="13"/>
  <c r="P6" i="13"/>
  <c r="O6" i="13"/>
  <c r="O9" i="13"/>
  <c r="P9" i="13"/>
  <c r="B9" i="13"/>
  <c r="B6" i="13"/>
  <c r="D69" i="13"/>
  <c r="G69" i="13" s="1"/>
  <c r="J69" i="13" s="1"/>
  <c r="F6" i="13" l="1"/>
  <c r="AI6" i="13"/>
  <c r="M69" i="13"/>
  <c r="L69" i="13"/>
  <c r="Y73" i="13"/>
  <c r="X73" i="13"/>
  <c r="V66" i="13"/>
  <c r="U66" i="13"/>
  <c r="AA57" i="13"/>
  <c r="AB57" i="13"/>
  <c r="AG68" i="13"/>
  <c r="AH68" i="13"/>
  <c r="AD61" i="13"/>
  <c r="AE61" i="13"/>
  <c r="V67" i="13"/>
  <c r="U67" i="13"/>
  <c r="AA85" i="13"/>
  <c r="AB85" i="13"/>
  <c r="AE82" i="13"/>
  <c r="AD82" i="13"/>
  <c r="AA84" i="13"/>
  <c r="AB84" i="13"/>
  <c r="AB83" i="13"/>
  <c r="AA83" i="13"/>
  <c r="U81" i="13"/>
  <c r="V81" i="13"/>
  <c r="R9" i="13"/>
  <c r="S9" i="13"/>
  <c r="R6" i="13"/>
  <c r="S6" i="13"/>
  <c r="E9" i="13"/>
  <c r="AN72" i="13"/>
  <c r="AK72" i="13"/>
  <c r="AH72" i="13"/>
  <c r="AE72" i="13"/>
  <c r="AB72" i="13"/>
  <c r="Y72" i="13"/>
  <c r="V72" i="13"/>
  <c r="S72" i="13"/>
  <c r="P72" i="13"/>
  <c r="M72" i="13"/>
  <c r="J72" i="13"/>
  <c r="AI72" i="13"/>
  <c r="D91" i="13"/>
  <c r="G91" i="13" s="1"/>
  <c r="J91" i="13" s="1"/>
  <c r="M91" i="13" s="1"/>
  <c r="P91" i="13" s="1"/>
  <c r="S91" i="13" s="1"/>
  <c r="V91" i="13" s="1"/>
  <c r="Y91" i="13" s="1"/>
  <c r="AB91" i="13" s="1"/>
  <c r="AE91" i="13" s="1"/>
  <c r="AH91" i="13" s="1"/>
  <c r="AK91" i="13" s="1"/>
  <c r="AN91" i="13" s="1"/>
  <c r="D89" i="13"/>
  <c r="G89" i="13" s="1"/>
  <c r="J89" i="13" s="1"/>
  <c r="M89" i="13" s="1"/>
  <c r="P89" i="13" s="1"/>
  <c r="S89" i="13" s="1"/>
  <c r="V89" i="13" s="1"/>
  <c r="Y89" i="13" s="1"/>
  <c r="AB89" i="13" s="1"/>
  <c r="AE89" i="13" s="1"/>
  <c r="AH89" i="13" s="1"/>
  <c r="AK89" i="13" s="1"/>
  <c r="AN89" i="13" s="1"/>
  <c r="B91" i="13"/>
  <c r="B89" i="13"/>
  <c r="AO7" i="13"/>
  <c r="AO10" i="13" s="1"/>
  <c r="AP10" i="13" s="1"/>
  <c r="K13" i="13"/>
  <c r="K15" i="13" s="1"/>
  <c r="L15" i="13" s="1"/>
  <c r="AO35" i="13"/>
  <c r="AO43" i="13"/>
  <c r="K44" i="13"/>
  <c r="AC23" i="13"/>
  <c r="AD23" i="13" s="1"/>
  <c r="K24" i="13"/>
  <c r="L24" i="13" s="1"/>
  <c r="H50" i="13"/>
  <c r="H54" i="13"/>
  <c r="H102" i="13"/>
  <c r="G104" i="13"/>
  <c r="J104" i="13" s="1"/>
  <c r="M104" i="13" s="1"/>
  <c r="P104" i="13" s="1"/>
  <c r="S104" i="13" s="1"/>
  <c r="V104" i="13" s="1"/>
  <c r="Y104" i="13" s="1"/>
  <c r="AB104" i="13" s="1"/>
  <c r="AE104" i="13" s="1"/>
  <c r="AH104" i="13" s="1"/>
  <c r="AK104" i="13" s="1"/>
  <c r="AN104" i="13" s="1"/>
  <c r="G103" i="13"/>
  <c r="J103" i="13" s="1"/>
  <c r="M103" i="13" s="1"/>
  <c r="P103" i="13" s="1"/>
  <c r="S103" i="13" s="1"/>
  <c r="V103" i="13" s="1"/>
  <c r="Y103" i="13" s="1"/>
  <c r="AB103" i="13" s="1"/>
  <c r="AE103" i="13" s="1"/>
  <c r="AH103" i="13" s="1"/>
  <c r="AK103" i="13" s="1"/>
  <c r="AN103" i="13" s="1"/>
  <c r="G102" i="13"/>
  <c r="J102" i="13" s="1"/>
  <c r="M102" i="13" s="1"/>
  <c r="P102" i="13" s="1"/>
  <c r="S102" i="13" s="1"/>
  <c r="V102" i="13" s="1"/>
  <c r="Y102" i="13" s="1"/>
  <c r="AB102" i="13" s="1"/>
  <c r="AE102" i="13" s="1"/>
  <c r="AH102" i="13" s="1"/>
  <c r="AK102" i="13" s="1"/>
  <c r="AN102" i="13" s="1"/>
  <c r="G101" i="13"/>
  <c r="J101" i="13" s="1"/>
  <c r="M101" i="13" s="1"/>
  <c r="P101" i="13" s="1"/>
  <c r="S101" i="13" s="1"/>
  <c r="V101" i="13" s="1"/>
  <c r="Y101" i="13" s="1"/>
  <c r="AB101" i="13" s="1"/>
  <c r="AE101" i="13" s="1"/>
  <c r="AH101" i="13" s="1"/>
  <c r="AK101" i="13" s="1"/>
  <c r="AN101" i="13" s="1"/>
  <c r="G99" i="13"/>
  <c r="J99" i="13" s="1"/>
  <c r="M99" i="13" s="1"/>
  <c r="P99" i="13" s="1"/>
  <c r="S99" i="13" s="1"/>
  <c r="V99" i="13" s="1"/>
  <c r="Y99" i="13" s="1"/>
  <c r="AB99" i="13" s="1"/>
  <c r="AE99" i="13" s="1"/>
  <c r="AH99" i="13" s="1"/>
  <c r="AK99" i="13" s="1"/>
  <c r="AN99" i="13" s="1"/>
  <c r="J50" i="13"/>
  <c r="M50" i="13" s="1"/>
  <c r="P50" i="13" s="1"/>
  <c r="S50" i="13" s="1"/>
  <c r="V50" i="13" s="1"/>
  <c r="Y50" i="13" s="1"/>
  <c r="AB50" i="13" s="1"/>
  <c r="AE50" i="13" s="1"/>
  <c r="AH50" i="13" s="1"/>
  <c r="AK50" i="13" s="1"/>
  <c r="AN50" i="13" s="1"/>
  <c r="G47" i="13"/>
  <c r="J47" i="13" s="1"/>
  <c r="M47" i="13" s="1"/>
  <c r="P47" i="13" s="1"/>
  <c r="S47" i="13" s="1"/>
  <c r="V47" i="13" s="1"/>
  <c r="Y47" i="13" s="1"/>
  <c r="AB47" i="13" s="1"/>
  <c r="AE47" i="13" s="1"/>
  <c r="AH47" i="13" s="1"/>
  <c r="AK47" i="13" s="1"/>
  <c r="AN47" i="13" s="1"/>
  <c r="G44" i="13"/>
  <c r="J44" i="13" s="1"/>
  <c r="M44" i="13" s="1"/>
  <c r="P44" i="13" s="1"/>
  <c r="S44" i="13" s="1"/>
  <c r="V44" i="13" s="1"/>
  <c r="Y44" i="13" s="1"/>
  <c r="AB44" i="13" s="1"/>
  <c r="AE44" i="13" s="1"/>
  <c r="AH44" i="13" s="1"/>
  <c r="AK44" i="13" s="1"/>
  <c r="AN44" i="13" s="1"/>
  <c r="J43" i="13"/>
  <c r="M43" i="13" s="1"/>
  <c r="P43" i="13" s="1"/>
  <c r="S43" i="13" s="1"/>
  <c r="V43" i="13" s="1"/>
  <c r="Y43" i="13" s="1"/>
  <c r="AB43" i="13" s="1"/>
  <c r="AE43" i="13" s="1"/>
  <c r="AH43" i="13" s="1"/>
  <c r="AK43" i="13" s="1"/>
  <c r="AN43" i="13" s="1"/>
  <c r="B99" i="13"/>
  <c r="G94" i="13"/>
  <c r="J94" i="13" s="1"/>
  <c r="M94" i="13" s="1"/>
  <c r="P94" i="13" s="1"/>
  <c r="S94" i="13" s="1"/>
  <c r="V94" i="13" s="1"/>
  <c r="Y94" i="13" s="1"/>
  <c r="AB94" i="13" s="1"/>
  <c r="AE94" i="13" s="1"/>
  <c r="AH94" i="13" s="1"/>
  <c r="AK94" i="13" s="1"/>
  <c r="AN94" i="13" s="1"/>
  <c r="B104" i="13"/>
  <c r="B103" i="13"/>
  <c r="B102" i="13"/>
  <c r="B101" i="13"/>
  <c r="AI28" i="13"/>
  <c r="AI24" i="13"/>
  <c r="G28" i="13"/>
  <c r="G27" i="13"/>
  <c r="G24" i="13"/>
  <c r="G23" i="13"/>
  <c r="B28" i="13"/>
  <c r="B24" i="13"/>
  <c r="F69" i="13" l="1"/>
  <c r="AI69" i="13"/>
  <c r="F101" i="13"/>
  <c r="AI101" i="13"/>
  <c r="F9" i="13"/>
  <c r="AI9" i="13"/>
  <c r="AI102" i="13"/>
  <c r="F104" i="13"/>
  <c r="AI104" i="13"/>
  <c r="AK68" i="13"/>
  <c r="AJ68" i="13"/>
  <c r="AH61" i="13"/>
  <c r="AG61" i="13"/>
  <c r="AE57" i="13"/>
  <c r="AD57" i="13"/>
  <c r="AB73" i="13"/>
  <c r="AE73" i="13" s="1"/>
  <c r="AH73" i="13" s="1"/>
  <c r="AK73" i="13" s="1"/>
  <c r="AN73" i="13" s="1"/>
  <c r="AA73" i="13"/>
  <c r="Y67" i="13"/>
  <c r="X67" i="13"/>
  <c r="Y66" i="13"/>
  <c r="X66" i="13"/>
  <c r="P69" i="13"/>
  <c r="O69" i="13"/>
  <c r="AG82" i="13"/>
  <c r="AH82" i="13"/>
  <c r="AD84" i="13"/>
  <c r="AE84" i="13"/>
  <c r="AE85" i="13"/>
  <c r="AD85" i="13"/>
  <c r="AD83" i="13"/>
  <c r="AE83" i="13"/>
  <c r="X81" i="13"/>
  <c r="Y81" i="13"/>
  <c r="V6" i="13"/>
  <c r="U6" i="13"/>
  <c r="V9" i="13"/>
  <c r="U9" i="13"/>
  <c r="H61" i="13"/>
  <c r="I61" i="13" s="1"/>
  <c r="H55" i="13"/>
  <c r="I55" i="13" s="1"/>
  <c r="H59" i="13"/>
  <c r="I59" i="13" s="1"/>
  <c r="H57" i="13"/>
  <c r="I57" i="13" s="1"/>
  <c r="H62" i="13"/>
  <c r="I62" i="13" s="1"/>
  <c r="I54" i="13"/>
  <c r="H60" i="13"/>
  <c r="I60" i="13" s="1"/>
  <c r="H56" i="13"/>
  <c r="I56" i="13" s="1"/>
  <c r="H81" i="13"/>
  <c r="Q72" i="13"/>
  <c r="R72" i="13" s="1"/>
  <c r="H67" i="13"/>
  <c r="I67" i="13" s="1"/>
  <c r="H66" i="13"/>
  <c r="H9" i="13"/>
  <c r="I9" i="13" s="1"/>
  <c r="H6" i="13"/>
  <c r="I6" i="13" s="1"/>
  <c r="N13" i="13"/>
  <c r="N15" i="13" s="1"/>
  <c r="O15" i="13" s="1"/>
  <c r="T35" i="13"/>
  <c r="AO50" i="13"/>
  <c r="N44" i="13"/>
  <c r="O44" i="13" s="1"/>
  <c r="AL7" i="13"/>
  <c r="AM7" i="13" s="1"/>
  <c r="H44" i="13"/>
  <c r="I44" i="13" s="1"/>
  <c r="I102" i="13"/>
  <c r="I50" i="13"/>
  <c r="K35" i="13"/>
  <c r="N94" i="13"/>
  <c r="N97" i="13" s="1"/>
  <c r="Z7" i="13"/>
  <c r="Z10" i="13" s="1"/>
  <c r="AA10" i="13" s="1"/>
  <c r="AF35" i="13"/>
  <c r="K18" i="13"/>
  <c r="K20" i="13" s="1"/>
  <c r="L20" i="13" s="1"/>
  <c r="AO18" i="13"/>
  <c r="AO20" i="13" s="1"/>
  <c r="AP20" i="13" s="1"/>
  <c r="N72" i="13"/>
  <c r="O72" i="13" s="1"/>
  <c r="T104" i="13"/>
  <c r="Q94" i="13"/>
  <c r="Q97" i="13" s="1"/>
  <c r="H94" i="13"/>
  <c r="I94" i="13" s="1"/>
  <c r="H104" i="13"/>
  <c r="I104" i="13" s="1"/>
  <c r="K32" i="13"/>
  <c r="L32" i="13" s="1"/>
  <c r="AF43" i="13"/>
  <c r="K104" i="13"/>
  <c r="L104" i="13" s="1"/>
  <c r="N104" i="13"/>
  <c r="O104" i="13" s="1"/>
  <c r="Q104" i="13"/>
  <c r="H72" i="13"/>
  <c r="H101" i="13"/>
  <c r="I101" i="13" s="1"/>
  <c r="T43" i="13"/>
  <c r="U43" i="13" s="1"/>
  <c r="K25" i="13"/>
  <c r="L25" i="13" s="1"/>
  <c r="L13" i="13"/>
  <c r="T32" i="13"/>
  <c r="U32" i="13" s="1"/>
  <c r="AO32" i="13"/>
  <c r="AP32" i="13" s="1"/>
  <c r="H47" i="13"/>
  <c r="I47" i="13" s="1"/>
  <c r="N7" i="13"/>
  <c r="N10" i="13" s="1"/>
  <c r="O10" i="13" s="1"/>
  <c r="W35" i="13"/>
  <c r="H97" i="13"/>
  <c r="I97" i="13" s="1"/>
  <c r="K94" i="13"/>
  <c r="K97" i="13" s="1"/>
  <c r="N32" i="13"/>
  <c r="O32" i="13" s="1"/>
  <c r="Q32" i="13"/>
  <c r="R32" i="13" s="1"/>
  <c r="AC32" i="13"/>
  <c r="AD32" i="13" s="1"/>
  <c r="H32" i="13"/>
  <c r="H25" i="13"/>
  <c r="H29" i="13" s="1"/>
  <c r="H24" i="13"/>
  <c r="H28" i="13" s="1"/>
  <c r="I28" i="13" s="1"/>
  <c r="H23" i="13"/>
  <c r="H27" i="13" s="1"/>
  <c r="I27" i="13" s="1"/>
  <c r="K23" i="13"/>
  <c r="L23" i="13" s="1"/>
  <c r="N23" i="13"/>
  <c r="O23" i="13" s="1"/>
  <c r="Q23" i="13"/>
  <c r="R23" i="13" s="1"/>
  <c r="T23" i="13"/>
  <c r="W23" i="13"/>
  <c r="X23" i="13" s="1"/>
  <c r="Z23" i="13"/>
  <c r="AA23" i="13" s="1"/>
  <c r="K43" i="13"/>
  <c r="L43" i="13" s="1"/>
  <c r="W43" i="13"/>
  <c r="H43" i="13"/>
  <c r="I43" i="13" s="1"/>
  <c r="Q43" i="13"/>
  <c r="R43" i="13" s="1"/>
  <c r="AC43" i="13"/>
  <c r="N43" i="13"/>
  <c r="O43" i="13" s="1"/>
  <c r="Z43" i="13"/>
  <c r="AL43" i="13"/>
  <c r="N38" i="13"/>
  <c r="N40" i="13" s="1"/>
  <c r="K38" i="13"/>
  <c r="K40" i="13" s="1"/>
  <c r="H38" i="13"/>
  <c r="H40" i="13" s="1"/>
  <c r="H18" i="13"/>
  <c r="H20" i="13" s="1"/>
  <c r="N35" i="13"/>
  <c r="Z35" i="13"/>
  <c r="AL35" i="13"/>
  <c r="H35" i="13"/>
  <c r="Q35" i="13"/>
  <c r="AC35" i="13"/>
  <c r="H15" i="13"/>
  <c r="H13" i="13"/>
  <c r="Q7" i="13"/>
  <c r="R7" i="13" s="1"/>
  <c r="AC7" i="13"/>
  <c r="AC10" i="13" s="1"/>
  <c r="AD10" i="13" s="1"/>
  <c r="H7" i="13"/>
  <c r="T7" i="13"/>
  <c r="U7" i="13" s="1"/>
  <c r="AF7" i="13"/>
  <c r="AF10" i="13" s="1"/>
  <c r="AG10" i="13" s="1"/>
  <c r="H10" i="13"/>
  <c r="K7" i="13"/>
  <c r="W7" i="13"/>
  <c r="W10" i="13" s="1"/>
  <c r="X10" i="13" s="1"/>
  <c r="J97" i="13"/>
  <c r="AP7" i="13"/>
  <c r="L44" i="13"/>
  <c r="AC27" i="13"/>
  <c r="AD27" i="13" s="1"/>
  <c r="K28" i="13"/>
  <c r="L28" i="13" s="1"/>
  <c r="F28" i="13"/>
  <c r="F24" i="13"/>
  <c r="F99" i="13" l="1"/>
  <c r="AI99" i="13"/>
  <c r="AA66" i="13"/>
  <c r="AB66" i="13"/>
  <c r="AE66" i="13" s="1"/>
  <c r="AH66" i="13" s="1"/>
  <c r="AK66" i="13" s="1"/>
  <c r="AN66" i="13" s="1"/>
  <c r="AK61" i="13"/>
  <c r="AJ61" i="13"/>
  <c r="S69" i="13"/>
  <c r="R69" i="13"/>
  <c r="AB67" i="13"/>
  <c r="AE67" i="13" s="1"/>
  <c r="AH67" i="13" s="1"/>
  <c r="AK67" i="13" s="1"/>
  <c r="AN67" i="13" s="1"/>
  <c r="AA67" i="13"/>
  <c r="AH57" i="13"/>
  <c r="AG57" i="13"/>
  <c r="AM68" i="13"/>
  <c r="AN68" i="13"/>
  <c r="AP68" i="13" s="1"/>
  <c r="AG84" i="13"/>
  <c r="AH84" i="13"/>
  <c r="AG85" i="13"/>
  <c r="AH85" i="13"/>
  <c r="AJ82" i="13"/>
  <c r="AK82" i="13"/>
  <c r="AH83" i="13"/>
  <c r="AG83" i="13"/>
  <c r="AA81" i="13"/>
  <c r="AB81" i="13"/>
  <c r="Y9" i="13"/>
  <c r="X9" i="13"/>
  <c r="X6" i="13"/>
  <c r="Y6" i="13"/>
  <c r="N18" i="13"/>
  <c r="O18" i="13" s="1"/>
  <c r="H70" i="13"/>
  <c r="I70" i="13" s="1"/>
  <c r="H69" i="13"/>
  <c r="I69" i="13" s="1"/>
  <c r="I66" i="13"/>
  <c r="Z50" i="13"/>
  <c r="AA50" i="13" s="1"/>
  <c r="AF50" i="13"/>
  <c r="AG50" i="13" s="1"/>
  <c r="K72" i="13"/>
  <c r="H84" i="13"/>
  <c r="I84" i="13" s="1"/>
  <c r="H83" i="13"/>
  <c r="I83" i="13" s="1"/>
  <c r="H85" i="13"/>
  <c r="I85" i="13" s="1"/>
  <c r="H82" i="13"/>
  <c r="I82" i="13" s="1"/>
  <c r="I81" i="13"/>
  <c r="I72" i="13"/>
  <c r="H73" i="13"/>
  <c r="I73" i="13" s="1"/>
  <c r="T18" i="13"/>
  <c r="T20" i="13" s="1"/>
  <c r="U20" i="13" s="1"/>
  <c r="H99" i="13"/>
  <c r="I99" i="13" s="1"/>
  <c r="O13" i="13"/>
  <c r="AO13" i="13"/>
  <c r="AO15" i="13" s="1"/>
  <c r="AP15" i="13" s="1"/>
  <c r="K27" i="13"/>
  <c r="L27" i="13" s="1"/>
  <c r="T50" i="13"/>
  <c r="U50" i="13" s="1"/>
  <c r="W50" i="13"/>
  <c r="X50" i="13" s="1"/>
  <c r="AL50" i="13"/>
  <c r="AM50" i="13" s="1"/>
  <c r="Q50" i="13"/>
  <c r="R50" i="13" s="1"/>
  <c r="N50" i="13"/>
  <c r="O50" i="13" s="1"/>
  <c r="AC50" i="13"/>
  <c r="AD50" i="13" s="1"/>
  <c r="K50" i="13"/>
  <c r="L50" i="13" s="1"/>
  <c r="Z44" i="13"/>
  <c r="AA44" i="13" s="1"/>
  <c r="N27" i="13"/>
  <c r="O27" i="13" s="1"/>
  <c r="AL10" i="13"/>
  <c r="AM10" i="13" s="1"/>
  <c r="AC18" i="13"/>
  <c r="AC20" i="13" s="1"/>
  <c r="AD20" i="13" s="1"/>
  <c r="W27" i="13"/>
  <c r="X27" i="13" s="1"/>
  <c r="W18" i="13"/>
  <c r="X18" i="13" s="1"/>
  <c r="Z18" i="13"/>
  <c r="Z20" i="13" s="1"/>
  <c r="AA20" i="13" s="1"/>
  <c r="X7" i="13"/>
  <c r="AA7" i="13"/>
  <c r="K29" i="13"/>
  <c r="L29" i="13" s="1"/>
  <c r="AP18" i="13"/>
  <c r="L18" i="13"/>
  <c r="N25" i="13"/>
  <c r="O25" i="13" s="1"/>
  <c r="O94" i="13"/>
  <c r="O7" i="13"/>
  <c r="AF32" i="13"/>
  <c r="AG32" i="13" s="1"/>
  <c r="AL32" i="13"/>
  <c r="AM32" i="13" s="1"/>
  <c r="W32" i="13"/>
  <c r="X32" i="13" s="1"/>
  <c r="K102" i="13"/>
  <c r="L102" i="13" s="1"/>
  <c r="R94" i="13"/>
  <c r="Z32" i="13"/>
  <c r="AA32" i="13" s="1"/>
  <c r="K101" i="13"/>
  <c r="L101" i="13" s="1"/>
  <c r="T94" i="13"/>
  <c r="T97" i="13" s="1"/>
  <c r="T72" i="13"/>
  <c r="U72" i="13" s="1"/>
  <c r="Q27" i="13"/>
  <c r="R27" i="13" s="1"/>
  <c r="Q25" i="13"/>
  <c r="R25" i="13" s="1"/>
  <c r="AD7" i="13"/>
  <c r="Q18" i="13"/>
  <c r="K47" i="13"/>
  <c r="L47" i="13" s="1"/>
  <c r="Z27" i="13"/>
  <c r="AA27" i="13" s="1"/>
  <c r="AF18" i="13"/>
  <c r="AL18" i="13"/>
  <c r="AL20" i="13" s="1"/>
  <c r="AM20" i="13" s="1"/>
  <c r="W104" i="13"/>
  <c r="K99" i="13"/>
  <c r="L99" i="13" s="1"/>
  <c r="L94" i="13"/>
  <c r="T25" i="13"/>
  <c r="I24" i="13"/>
  <c r="N24" i="13"/>
  <c r="I23" i="13"/>
  <c r="U23" i="13"/>
  <c r="T27" i="13"/>
  <c r="U27" i="13" s="1"/>
  <c r="AF23" i="13"/>
  <c r="Q38" i="13"/>
  <c r="Q40" i="13" s="1"/>
  <c r="Q10" i="13"/>
  <c r="R10" i="13" s="1"/>
  <c r="AG7" i="13"/>
  <c r="K10" i="13"/>
  <c r="L10" i="13" s="1"/>
  <c r="L7" i="13"/>
  <c r="T10" i="13"/>
  <c r="U10" i="13" s="1"/>
  <c r="L97" i="13"/>
  <c r="M97" i="13"/>
  <c r="R104" i="13"/>
  <c r="AP50" i="13"/>
  <c r="F72" i="13"/>
  <c r="F66" i="13"/>
  <c r="AI94" i="13"/>
  <c r="B97" i="13"/>
  <c r="B94" i="13"/>
  <c r="B44" i="13"/>
  <c r="B43" i="13"/>
  <c r="G40" i="13"/>
  <c r="G38" i="13"/>
  <c r="I25" i="13"/>
  <c r="G7" i="13"/>
  <c r="I7" i="13" s="1"/>
  <c r="G29" i="13" l="1"/>
  <c r="I29" i="13" s="1"/>
  <c r="AN61" i="13"/>
  <c r="AP61" i="13" s="1"/>
  <c r="AM61" i="13"/>
  <c r="AK57" i="13"/>
  <c r="AJ57" i="13"/>
  <c r="V69" i="13"/>
  <c r="U69" i="13"/>
  <c r="AM82" i="13"/>
  <c r="AN82" i="13"/>
  <c r="AP82" i="13" s="1"/>
  <c r="AJ85" i="13"/>
  <c r="AK85" i="13"/>
  <c r="AJ84" i="13"/>
  <c r="AK84" i="13"/>
  <c r="L72" i="13"/>
  <c r="K73" i="13"/>
  <c r="L73" i="13" s="1"/>
  <c r="AJ83" i="13"/>
  <c r="AK83" i="13"/>
  <c r="AD81" i="13"/>
  <c r="AE81" i="13"/>
  <c r="AA6" i="13"/>
  <c r="AB6" i="13"/>
  <c r="AA9" i="13"/>
  <c r="AB9" i="13"/>
  <c r="N20" i="13"/>
  <c r="O20" i="13" s="1"/>
  <c r="AP13" i="13"/>
  <c r="Q13" i="13"/>
  <c r="Q15" i="13" s="1"/>
  <c r="R15" i="13" s="1"/>
  <c r="AF44" i="13"/>
  <c r="AG44" i="13" s="1"/>
  <c r="U18" i="13"/>
  <c r="T13" i="13"/>
  <c r="T15" i="13" s="1"/>
  <c r="U15" i="13" s="1"/>
  <c r="AF13" i="13"/>
  <c r="AG13" i="13" s="1"/>
  <c r="AC13" i="13"/>
  <c r="AD13" i="13" s="1"/>
  <c r="AL13" i="13"/>
  <c r="AL15" i="13" s="1"/>
  <c r="AM15" i="13" s="1"/>
  <c r="Z13" i="13"/>
  <c r="AA13" i="13" s="1"/>
  <c r="W13" i="13"/>
  <c r="X13" i="13" s="1"/>
  <c r="T44" i="13"/>
  <c r="U44" i="13" s="1"/>
  <c r="W44" i="13"/>
  <c r="X44" i="13" s="1"/>
  <c r="AC44" i="13"/>
  <c r="AD44" i="13" s="1"/>
  <c r="Q44" i="13"/>
  <c r="R44" i="13" s="1"/>
  <c r="W20" i="13"/>
  <c r="X20" i="13" s="1"/>
  <c r="AA18" i="13"/>
  <c r="AD18" i="13"/>
  <c r="Q29" i="13"/>
  <c r="R29" i="13" s="1"/>
  <c r="N29" i="13"/>
  <c r="O29" i="13" s="1"/>
  <c r="N102" i="13"/>
  <c r="O102" i="13" s="1"/>
  <c r="N99" i="13"/>
  <c r="O99" i="13" s="1"/>
  <c r="R18" i="13"/>
  <c r="Q20" i="13"/>
  <c r="R20" i="13" s="1"/>
  <c r="W94" i="13"/>
  <c r="W97" i="13" s="1"/>
  <c r="AG18" i="13"/>
  <c r="AF20" i="13"/>
  <c r="AG20" i="13" s="1"/>
  <c r="AM18" i="13"/>
  <c r="U94" i="13"/>
  <c r="Z104" i="13"/>
  <c r="N47" i="13"/>
  <c r="O47" i="13" s="1"/>
  <c r="W72" i="13"/>
  <c r="X72" i="13" s="1"/>
  <c r="N101" i="13"/>
  <c r="O101" i="13" s="1"/>
  <c r="U25" i="13"/>
  <c r="T29" i="13"/>
  <c r="U29" i="13" s="1"/>
  <c r="W25" i="13"/>
  <c r="Q24" i="13"/>
  <c r="O24" i="13"/>
  <c r="N28" i="13"/>
  <c r="O28" i="13" s="1"/>
  <c r="AG23" i="13"/>
  <c r="AF27" i="13"/>
  <c r="AG27" i="13" s="1"/>
  <c r="T38" i="13"/>
  <c r="T40" i="13" s="1"/>
  <c r="I40" i="13"/>
  <c r="J40" i="13"/>
  <c r="P97" i="13"/>
  <c r="O97" i="13"/>
  <c r="J38" i="13"/>
  <c r="I38" i="13"/>
  <c r="X43" i="13"/>
  <c r="U104" i="13"/>
  <c r="F97" i="13"/>
  <c r="F94" i="13"/>
  <c r="F80" i="13"/>
  <c r="F82" i="13"/>
  <c r="F83" i="13"/>
  <c r="F84" i="13"/>
  <c r="F55" i="13"/>
  <c r="F56" i="13"/>
  <c r="F57" i="13"/>
  <c r="F59" i="13"/>
  <c r="F54" i="13"/>
  <c r="B50" i="13"/>
  <c r="AI47" i="13"/>
  <c r="B47" i="13"/>
  <c r="B40" i="13"/>
  <c r="B38" i="13"/>
  <c r="G35" i="13"/>
  <c r="F40" i="13" l="1"/>
  <c r="AI40" i="13"/>
  <c r="F44" i="13"/>
  <c r="AI44" i="13"/>
  <c r="AJ44" i="13" s="1"/>
  <c r="F50" i="13"/>
  <c r="AI50" i="13"/>
  <c r="AJ50" i="13" s="1"/>
  <c r="F43" i="13"/>
  <c r="AI43" i="13"/>
  <c r="F38" i="13"/>
  <c r="AI38" i="13"/>
  <c r="AN57" i="13"/>
  <c r="AP57" i="13" s="1"/>
  <c r="AM57" i="13"/>
  <c r="Y69" i="13"/>
  <c r="X69" i="13"/>
  <c r="AM85" i="13"/>
  <c r="AN85" i="13"/>
  <c r="AP85" i="13" s="1"/>
  <c r="AN84" i="13"/>
  <c r="AP84" i="13" s="1"/>
  <c r="AM84" i="13"/>
  <c r="AN83" i="13"/>
  <c r="AP83" i="13" s="1"/>
  <c r="AM83" i="13"/>
  <c r="AH81" i="13"/>
  <c r="AG81" i="13"/>
  <c r="AD9" i="13"/>
  <c r="AE9" i="13"/>
  <c r="AD6" i="13"/>
  <c r="AE6" i="13"/>
  <c r="AF15" i="13"/>
  <c r="AG15" i="13" s="1"/>
  <c r="R13" i="13"/>
  <c r="U13" i="13"/>
  <c r="AC15" i="13"/>
  <c r="AD15" i="13" s="1"/>
  <c r="W15" i="13"/>
  <c r="X15" i="13" s="1"/>
  <c r="Z15" i="13"/>
  <c r="AA15" i="13" s="1"/>
  <c r="AM13" i="13"/>
  <c r="AL44" i="13"/>
  <c r="AM44" i="13" s="1"/>
  <c r="AO44" i="13"/>
  <c r="AP44" i="13" s="1"/>
  <c r="Q102" i="13"/>
  <c r="R102" i="13" s="1"/>
  <c r="Z72" i="13"/>
  <c r="AA72" i="13" s="1"/>
  <c r="AC104" i="13"/>
  <c r="Z94" i="13"/>
  <c r="Z97" i="13" s="1"/>
  <c r="Q101" i="13"/>
  <c r="R101" i="13" s="1"/>
  <c r="Q47" i="13"/>
  <c r="R47" i="13" s="1"/>
  <c r="Q99" i="13"/>
  <c r="R99" i="13" s="1"/>
  <c r="X94" i="13"/>
  <c r="X25" i="13"/>
  <c r="W29" i="13"/>
  <c r="X29" i="13" s="1"/>
  <c r="Z25" i="13"/>
  <c r="R24" i="13"/>
  <c r="Q28" i="13"/>
  <c r="R28" i="13" s="1"/>
  <c r="T24" i="13"/>
  <c r="AO23" i="13"/>
  <c r="AL23" i="13"/>
  <c r="W38" i="13"/>
  <c r="W40" i="13" s="1"/>
  <c r="S97" i="13"/>
  <c r="R97" i="13"/>
  <c r="I35" i="13"/>
  <c r="J35" i="13"/>
  <c r="M38" i="13"/>
  <c r="L38" i="13"/>
  <c r="M40" i="13"/>
  <c r="L40" i="13"/>
  <c r="AA43" i="13"/>
  <c r="X104" i="13"/>
  <c r="B35" i="13"/>
  <c r="AI35" i="13"/>
  <c r="AB69" i="13" l="1"/>
  <c r="AE69" i="13" s="1"/>
  <c r="AH69" i="13" s="1"/>
  <c r="AK69" i="13" s="1"/>
  <c r="AN69" i="13" s="1"/>
  <c r="AA69" i="13"/>
  <c r="AJ81" i="13"/>
  <c r="AK81" i="13"/>
  <c r="AH6" i="13"/>
  <c r="AG6" i="13"/>
  <c r="AG9" i="13"/>
  <c r="AH9" i="13"/>
  <c r="T102" i="13"/>
  <c r="U102" i="13" s="1"/>
  <c r="AA94" i="13"/>
  <c r="AC94" i="13"/>
  <c r="AC97" i="13" s="1"/>
  <c r="T101" i="13"/>
  <c r="U101" i="13" s="1"/>
  <c r="T99" i="13"/>
  <c r="U99" i="13" s="1"/>
  <c r="T47" i="13"/>
  <c r="U47" i="13" s="1"/>
  <c r="AF104" i="13"/>
  <c r="AC72" i="13"/>
  <c r="AA25" i="13"/>
  <c r="Z29" i="13"/>
  <c r="AA29" i="13" s="1"/>
  <c r="AC25" i="13"/>
  <c r="U24" i="13"/>
  <c r="T28" i="13"/>
  <c r="U28" i="13" s="1"/>
  <c r="W24" i="13"/>
  <c r="AM23" i="13"/>
  <c r="AL27" i="13"/>
  <c r="AM27" i="13" s="1"/>
  <c r="AP23" i="13"/>
  <c r="AO27" i="13"/>
  <c r="AP27" i="13" s="1"/>
  <c r="Z38" i="13"/>
  <c r="Z40" i="13" s="1"/>
  <c r="V97" i="13"/>
  <c r="U97" i="13"/>
  <c r="P40" i="13"/>
  <c r="O40" i="13"/>
  <c r="M35" i="13"/>
  <c r="L35" i="13"/>
  <c r="P38" i="13"/>
  <c r="O38" i="13"/>
  <c r="AD43" i="13"/>
  <c r="AA104" i="13"/>
  <c r="AI32" i="13"/>
  <c r="AJ32" i="13" s="1"/>
  <c r="B32" i="13"/>
  <c r="B29" i="13"/>
  <c r="B27" i="13"/>
  <c r="B25" i="13"/>
  <c r="B23" i="13"/>
  <c r="AI20" i="13"/>
  <c r="AJ20" i="13" s="1"/>
  <c r="AI18" i="13"/>
  <c r="AJ18" i="13" s="1"/>
  <c r="AI15" i="13"/>
  <c r="AJ15" i="13" s="1"/>
  <c r="AI13" i="13"/>
  <c r="AJ13" i="13" s="1"/>
  <c r="AI10" i="13"/>
  <c r="AJ10" i="13" s="1"/>
  <c r="AI7" i="13"/>
  <c r="AJ7" i="13" s="1"/>
  <c r="B20" i="13"/>
  <c r="B18" i="13"/>
  <c r="B15" i="13"/>
  <c r="B13" i="13"/>
  <c r="F23" i="13" l="1"/>
  <c r="AI23" i="13"/>
  <c r="AJ23" i="13" s="1"/>
  <c r="F25" i="13"/>
  <c r="AI25" i="13"/>
  <c r="F27" i="13"/>
  <c r="AI27" i="13"/>
  <c r="AJ27" i="13" s="1"/>
  <c r="F29" i="13"/>
  <c r="AI29" i="13"/>
  <c r="AD72" i="13"/>
  <c r="AC73" i="13"/>
  <c r="AD73" i="13" s="1"/>
  <c r="AC66" i="13"/>
  <c r="AD66" i="13" s="1"/>
  <c r="AC69" i="13"/>
  <c r="AD69" i="13" s="1"/>
  <c r="AC70" i="13"/>
  <c r="AD70" i="13" s="1"/>
  <c r="AC67" i="13"/>
  <c r="AD67" i="13" s="1"/>
  <c r="AN81" i="13"/>
  <c r="AP81" i="13" s="1"/>
  <c r="AM81" i="13"/>
  <c r="AK9" i="13"/>
  <c r="AJ9" i="13"/>
  <c r="AJ6" i="13"/>
  <c r="AK6" i="13"/>
  <c r="W102" i="13"/>
  <c r="X102" i="13" s="1"/>
  <c r="AD94" i="13"/>
  <c r="W47" i="13"/>
  <c r="X47" i="13" s="1"/>
  <c r="AF72" i="13"/>
  <c r="W101" i="13"/>
  <c r="X101" i="13" s="1"/>
  <c r="AF94" i="13"/>
  <c r="AF97" i="13" s="1"/>
  <c r="W99" i="13"/>
  <c r="X99" i="13" s="1"/>
  <c r="AD25" i="13"/>
  <c r="AC29" i="13"/>
  <c r="AD29" i="13" s="1"/>
  <c r="AF25" i="13"/>
  <c r="X24" i="13"/>
  <c r="W28" i="13"/>
  <c r="X28" i="13" s="1"/>
  <c r="Z24" i="13"/>
  <c r="AC38" i="13"/>
  <c r="AC40" i="13" s="1"/>
  <c r="P35" i="13"/>
  <c r="O35" i="13"/>
  <c r="Y97" i="13"/>
  <c r="X97" i="13"/>
  <c r="S38" i="13"/>
  <c r="R38" i="13"/>
  <c r="S40" i="13"/>
  <c r="R40" i="13"/>
  <c r="AG43" i="13"/>
  <c r="AD104" i="13"/>
  <c r="B10" i="13"/>
  <c r="B7" i="13"/>
  <c r="F47" i="13"/>
  <c r="F35" i="13"/>
  <c r="AG72" i="13" l="1"/>
  <c r="AF67" i="13"/>
  <c r="AG67" i="13" s="1"/>
  <c r="AF69" i="13"/>
  <c r="AG69" i="13" s="1"/>
  <c r="AF70" i="13"/>
  <c r="AG70" i="13" s="1"/>
  <c r="AF66" i="13"/>
  <c r="AG66" i="13" s="1"/>
  <c r="AF73" i="13"/>
  <c r="AG73" i="13" s="1"/>
  <c r="AN6" i="13"/>
  <c r="AP6" i="13" s="1"/>
  <c r="AM6" i="13"/>
  <c r="AN9" i="13"/>
  <c r="AP9" i="13" s="1"/>
  <c r="AM9" i="13"/>
  <c r="Z102" i="13"/>
  <c r="AA102" i="13" s="1"/>
  <c r="AG94" i="13"/>
  <c r="Z99" i="13"/>
  <c r="AA99" i="13" s="1"/>
  <c r="Z101" i="13"/>
  <c r="AA101" i="13" s="1"/>
  <c r="Z47" i="13"/>
  <c r="AA47" i="13" s="1"/>
  <c r="AI97" i="13"/>
  <c r="AO104" i="13"/>
  <c r="AL104" i="13"/>
  <c r="AG25" i="13"/>
  <c r="AF29" i="13"/>
  <c r="AG29" i="13" s="1"/>
  <c r="AC24" i="13"/>
  <c r="AA24" i="13"/>
  <c r="Z28" i="13"/>
  <c r="AA28" i="13" s="1"/>
  <c r="AF38" i="13"/>
  <c r="AF40" i="13" s="1"/>
  <c r="V40" i="13"/>
  <c r="U40" i="13"/>
  <c r="AB97" i="13"/>
  <c r="AA97" i="13"/>
  <c r="V38" i="13"/>
  <c r="U38" i="13"/>
  <c r="S35" i="13"/>
  <c r="R35" i="13"/>
  <c r="AJ43" i="13"/>
  <c r="AG104" i="13"/>
  <c r="F7" i="13"/>
  <c r="AJ72" i="13" l="1"/>
  <c r="AI73" i="13"/>
  <c r="AJ73" i="13" s="1"/>
  <c r="AJ66" i="13"/>
  <c r="AJ69" i="13"/>
  <c r="AJ70" i="13"/>
  <c r="AJ67" i="13"/>
  <c r="AC102" i="13"/>
  <c r="AD102" i="13" s="1"/>
  <c r="AC99" i="13"/>
  <c r="AD99" i="13" s="1"/>
  <c r="AJ94" i="13"/>
  <c r="AO94" i="13"/>
  <c r="AO97" i="13" s="1"/>
  <c r="AL94" i="13"/>
  <c r="AL97" i="13" s="1"/>
  <c r="AO72" i="13"/>
  <c r="AL72" i="13"/>
  <c r="AC47" i="13"/>
  <c r="AD47" i="13" s="1"/>
  <c r="AC101" i="13"/>
  <c r="AD101" i="13" s="1"/>
  <c r="AJ25" i="13"/>
  <c r="AJ29" i="13"/>
  <c r="AO25" i="13"/>
  <c r="AL25" i="13"/>
  <c r="AD24" i="13"/>
  <c r="AC28" i="13"/>
  <c r="AD28" i="13" s="1"/>
  <c r="AF24" i="13"/>
  <c r="F10" i="13"/>
  <c r="G10" i="13"/>
  <c r="I10" i="13" s="1"/>
  <c r="Y38" i="13"/>
  <c r="X38" i="13"/>
  <c r="F20" i="13"/>
  <c r="G20" i="13"/>
  <c r="I20" i="13" s="1"/>
  <c r="F13" i="13"/>
  <c r="G13" i="13"/>
  <c r="I13" i="13" s="1"/>
  <c r="Y40" i="13"/>
  <c r="X40" i="13"/>
  <c r="F18" i="13"/>
  <c r="G18" i="13"/>
  <c r="I18" i="13" s="1"/>
  <c r="F15" i="13"/>
  <c r="G15" i="13"/>
  <c r="I15" i="13" s="1"/>
  <c r="V35" i="13"/>
  <c r="U35" i="13"/>
  <c r="F32" i="13"/>
  <c r="G32" i="13"/>
  <c r="I32" i="13" s="1"/>
  <c r="AE97" i="13"/>
  <c r="AD97" i="13"/>
  <c r="AM43" i="13"/>
  <c r="AP43" i="13"/>
  <c r="AJ104" i="13"/>
  <c r="AM72" i="13" l="1"/>
  <c r="AL70" i="13"/>
  <c r="AM70" i="13" s="1"/>
  <c r="AL69" i="13"/>
  <c r="AM69" i="13" s="1"/>
  <c r="AL67" i="13"/>
  <c r="AM67" i="13" s="1"/>
  <c r="AL73" i="13"/>
  <c r="AM73" i="13" s="1"/>
  <c r="AL66" i="13"/>
  <c r="AM66" i="13" s="1"/>
  <c r="AP72" i="13"/>
  <c r="AO69" i="13"/>
  <c r="AP69" i="13" s="1"/>
  <c r="AO70" i="13"/>
  <c r="AP70" i="13" s="1"/>
  <c r="AO67" i="13"/>
  <c r="AP67" i="13" s="1"/>
  <c r="AO73" i="13"/>
  <c r="AP73" i="13" s="1"/>
  <c r="AO66" i="13"/>
  <c r="AP66" i="13" s="1"/>
  <c r="AF102" i="13"/>
  <c r="AG102" i="13" s="1"/>
  <c r="AM94" i="13"/>
  <c r="AF47" i="13"/>
  <c r="AG47" i="13" s="1"/>
  <c r="AF101" i="13"/>
  <c r="AG101" i="13" s="1"/>
  <c r="AP94" i="13"/>
  <c r="AF99" i="13"/>
  <c r="AG99" i="13" s="1"/>
  <c r="AM25" i="13"/>
  <c r="AL29" i="13"/>
  <c r="AM29" i="13" s="1"/>
  <c r="AP25" i="13"/>
  <c r="AO29" i="13"/>
  <c r="AP29" i="13" s="1"/>
  <c r="AG24" i="13"/>
  <c r="AF28" i="13"/>
  <c r="AG28" i="13" s="1"/>
  <c r="AO38" i="13"/>
  <c r="AL38" i="13"/>
  <c r="AL40" i="13" s="1"/>
  <c r="AH97" i="13"/>
  <c r="AG97" i="13"/>
  <c r="Y35" i="13"/>
  <c r="X35" i="13"/>
  <c r="AB40" i="13"/>
  <c r="AA40" i="13"/>
  <c r="AB38" i="13"/>
  <c r="AA38" i="13"/>
  <c r="AP104" i="13"/>
  <c r="AM104" i="13"/>
  <c r="F91" i="13" l="1"/>
  <c r="AJ102" i="13"/>
  <c r="AJ99" i="13"/>
  <c r="AJ47" i="13"/>
  <c r="AJ101" i="13"/>
  <c r="AJ24" i="13"/>
  <c r="AJ28" i="13"/>
  <c r="AO24" i="13"/>
  <c r="AL24" i="13"/>
  <c r="AE40" i="13"/>
  <c r="AD40" i="13"/>
  <c r="AB35" i="13"/>
  <c r="AA35" i="13"/>
  <c r="AK97" i="13"/>
  <c r="AJ97" i="13"/>
  <c r="AE38" i="13"/>
  <c r="AD38" i="13"/>
  <c r="F89" i="13" l="1"/>
  <c r="AI89" i="13"/>
  <c r="H89" i="13"/>
  <c r="AO102" i="13"/>
  <c r="AP102" i="13" s="1"/>
  <c r="AL102" i="13"/>
  <c r="AM102" i="13" s="1"/>
  <c r="AO101" i="13"/>
  <c r="AP101" i="13" s="1"/>
  <c r="AL101" i="13"/>
  <c r="AM101" i="13" s="1"/>
  <c r="AL99" i="13"/>
  <c r="AM99" i="13" s="1"/>
  <c r="AO99" i="13"/>
  <c r="AP99" i="13" s="1"/>
  <c r="AO47" i="13"/>
  <c r="AP47" i="13" s="1"/>
  <c r="AL47" i="13"/>
  <c r="AM47" i="13" s="1"/>
  <c r="AM24" i="13"/>
  <c r="AL28" i="13"/>
  <c r="AM28" i="13" s="1"/>
  <c r="AP24" i="13"/>
  <c r="AO28" i="13"/>
  <c r="AP28" i="13" s="1"/>
  <c r="AN97" i="13"/>
  <c r="AP97" i="13" s="1"/>
  <c r="AM97" i="13"/>
  <c r="AE35" i="13"/>
  <c r="AD35" i="13"/>
  <c r="AH38" i="13"/>
  <c r="AG38" i="13"/>
  <c r="AH40" i="13"/>
  <c r="AG40" i="13"/>
  <c r="AO40" i="13"/>
  <c r="H91" i="13" l="1"/>
  <c r="I91" i="13" s="1"/>
  <c r="I89" i="13"/>
  <c r="K89" i="13"/>
  <c r="AK38" i="13"/>
  <c r="AJ38" i="13"/>
  <c r="AK40" i="13"/>
  <c r="AJ40" i="13"/>
  <c r="AH35" i="13"/>
  <c r="AG35" i="13"/>
  <c r="F103" i="13" l="1"/>
  <c r="F107" i="13" s="1"/>
  <c r="F111" i="13" s="1"/>
  <c r="AI103" i="13"/>
  <c r="L89" i="13"/>
  <c r="K91" i="13"/>
  <c r="L91" i="13" s="1"/>
  <c r="N89" i="13"/>
  <c r="H103" i="13"/>
  <c r="I103" i="13" s="1"/>
  <c r="I107" i="13" s="1"/>
  <c r="AN40" i="13"/>
  <c r="AP40" i="13" s="1"/>
  <c r="AM40" i="13"/>
  <c r="AK35" i="13"/>
  <c r="AJ35" i="13"/>
  <c r="AN38" i="13"/>
  <c r="AP38" i="13" s="1"/>
  <c r="AM38" i="13"/>
  <c r="A4" i="11"/>
  <c r="I111" i="13" l="1"/>
  <c r="N91" i="13"/>
  <c r="O91" i="13" s="1"/>
  <c r="O89" i="13"/>
  <c r="Q89" i="13"/>
  <c r="I109" i="13"/>
  <c r="I110" i="13"/>
  <c r="K103" i="13"/>
  <c r="L103" i="13" s="1"/>
  <c r="L107" i="13" s="1"/>
  <c r="AN35" i="13"/>
  <c r="AP35" i="13" s="1"/>
  <c r="AM35" i="13"/>
  <c r="F109" i="13" l="1"/>
  <c r="F110" i="13"/>
  <c r="I112" i="13"/>
  <c r="L111" i="13"/>
  <c r="N103" i="13"/>
  <c r="O103" i="13" s="1"/>
  <c r="O107" i="13" s="1"/>
  <c r="T89" i="13"/>
  <c r="L110" i="13"/>
  <c r="L109" i="13"/>
  <c r="Q91" i="13"/>
  <c r="R91" i="13" s="1"/>
  <c r="R89" i="13"/>
  <c r="F112" i="13" l="1"/>
  <c r="B5" i="11" s="1"/>
  <c r="F45" i="11" s="1"/>
  <c r="L112" i="13"/>
  <c r="O111" i="13"/>
  <c r="Q103" i="13"/>
  <c r="R103" i="13" s="1"/>
  <c r="R107" i="13" s="1"/>
  <c r="O110" i="13"/>
  <c r="O109" i="13"/>
  <c r="W89" i="13"/>
  <c r="U89" i="13"/>
  <c r="T91" i="13"/>
  <c r="U91" i="13" s="1"/>
  <c r="O112" i="13" l="1"/>
  <c r="R111" i="13"/>
  <c r="W91" i="13"/>
  <c r="X91" i="13" s="1"/>
  <c r="X89" i="13"/>
  <c r="Z89" i="13"/>
  <c r="R109" i="13"/>
  <c r="R110" i="13"/>
  <c r="T103" i="13"/>
  <c r="U103" i="13" s="1"/>
  <c r="U107" i="13" s="1"/>
  <c r="R112" i="13" l="1"/>
  <c r="U111" i="13"/>
  <c r="AC89" i="13"/>
  <c r="W103" i="13"/>
  <c r="X103" i="13" s="1"/>
  <c r="X107" i="13" s="1"/>
  <c r="AA89" i="13"/>
  <c r="Z91" i="13"/>
  <c r="AA91" i="13" s="1"/>
  <c r="U110" i="13"/>
  <c r="U109" i="13"/>
  <c r="X111" i="13" l="1"/>
  <c r="U112" i="13"/>
  <c r="Z103" i="13"/>
  <c r="AA103" i="13" s="1"/>
  <c r="AA107" i="13" s="1"/>
  <c r="X109" i="13"/>
  <c r="X110" i="13"/>
  <c r="AF89" i="13"/>
  <c r="AC91" i="13"/>
  <c r="AD91" i="13" s="1"/>
  <c r="AD89" i="13"/>
  <c r="AA111" i="13" l="1"/>
  <c r="X112" i="13"/>
  <c r="AF91" i="13"/>
  <c r="AG91" i="13" s="1"/>
  <c r="AG89" i="13"/>
  <c r="AC103" i="13"/>
  <c r="AD103" i="13" s="1"/>
  <c r="AD107" i="13" s="1"/>
  <c r="AA110" i="13"/>
  <c r="AA109" i="13"/>
  <c r="AD111" i="13" l="1"/>
  <c r="AA112" i="13"/>
  <c r="AI91" i="13"/>
  <c r="AJ91" i="13" s="1"/>
  <c r="AJ89" i="13"/>
  <c r="AO89" i="13"/>
  <c r="AL89" i="13"/>
  <c r="AD109" i="13"/>
  <c r="AD110" i="13"/>
  <c r="AF103" i="13"/>
  <c r="AG103" i="13" s="1"/>
  <c r="AG107" i="13" s="1"/>
  <c r="AG111" i="13" l="1"/>
  <c r="AD112" i="13"/>
  <c r="AG110" i="13"/>
  <c r="AG109" i="13"/>
  <c r="AM89" i="13"/>
  <c r="AL91" i="13"/>
  <c r="AM91" i="13" s="1"/>
  <c r="AO91" i="13"/>
  <c r="AP91" i="13" s="1"/>
  <c r="AP89" i="13"/>
  <c r="AJ103" i="13"/>
  <c r="AJ107" i="13" s="1"/>
  <c r="AJ111" i="13" l="1"/>
  <c r="AG112" i="13"/>
  <c r="AJ110" i="13"/>
  <c r="AJ109" i="13"/>
  <c r="AO103" i="13"/>
  <c r="AP103" i="13" s="1"/>
  <c r="AP107" i="13" s="1"/>
  <c r="AL103" i="13"/>
  <c r="AM103" i="13" s="1"/>
  <c r="AM107" i="13" s="1"/>
  <c r="AP111" i="13" l="1"/>
  <c r="AM111" i="13"/>
  <c r="AJ112" i="13"/>
  <c r="B7" i="11" s="1"/>
  <c r="AP109" i="13"/>
  <c r="AP110" i="13"/>
  <c r="AM110" i="13"/>
  <c r="AM109" i="13"/>
  <c r="AP112" i="13" l="1"/>
  <c r="AM112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Pieter de Coning</author>
  </authors>
  <commentList>
    <comment ref="E29" authorId="0" shapeId="0" xr:uid="{4FCD592D-8C5F-40B7-931A-EF1610184D03}">
      <text>
        <r>
          <rPr>
            <b/>
            <sz val="9"/>
            <color indexed="81"/>
            <rFont val="Tahoma"/>
            <family val="2"/>
          </rPr>
          <t>Pieter de Coning:</t>
        </r>
        <r>
          <rPr>
            <sz val="9"/>
            <color indexed="81"/>
            <rFont val="Tahoma"/>
            <family val="2"/>
          </rPr>
          <t xml:space="preserve">
Cost provided by Beeshoek 19 July 2021</t>
        </r>
      </text>
    </comment>
    <comment ref="E30" authorId="0" shapeId="0" xr:uid="{F4D57D8B-89CD-4C76-8EF2-33E6DA323373}">
      <text>
        <r>
          <rPr>
            <b/>
            <sz val="9"/>
            <color indexed="81"/>
            <rFont val="Tahoma"/>
            <family val="2"/>
          </rPr>
          <t>Pieter de Coning:</t>
        </r>
        <r>
          <rPr>
            <sz val="9"/>
            <color indexed="81"/>
            <rFont val="Tahoma"/>
            <family val="2"/>
          </rPr>
          <t xml:space="preserve">
Cost provided by Beeshoek 19 July 2021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Ferdi</author>
    <author>FP</author>
    <author>Ferdi Pieterse</author>
    <author>Heleen Bredenhann</author>
  </authors>
  <commentList>
    <comment ref="D6" authorId="0" shapeId="0" xr:uid="{2402C633-FAD5-4195-9054-EC9CF72C098C}">
      <text>
        <r>
          <rPr>
            <b/>
            <sz val="9"/>
            <color indexed="81"/>
            <rFont val="Tahoma"/>
            <family val="2"/>
          </rPr>
          <t>Ferdi:</t>
        </r>
        <r>
          <rPr>
            <sz val="9"/>
            <color indexed="81"/>
            <rFont val="Tahoma"/>
            <family val="2"/>
          </rPr>
          <t xml:space="preserve">
2020: New take-up conveyor structure added
</t>
        </r>
        <r>
          <rPr>
            <b/>
            <sz val="9"/>
            <color indexed="81"/>
            <rFont val="Tahoma"/>
            <family val="2"/>
          </rPr>
          <t xml:space="preserve">Pieter:
</t>
        </r>
        <r>
          <rPr>
            <sz val="9"/>
            <color indexed="81"/>
            <rFont val="Tahoma"/>
            <family val="2"/>
          </rPr>
          <t>2021: No change to buildings</t>
        </r>
      </text>
    </comment>
    <comment ref="D7" authorId="0" shapeId="0" xr:uid="{CA8EA1A5-E3C3-404A-AC73-96E65646D215}">
      <text>
        <r>
          <rPr>
            <b/>
            <sz val="9"/>
            <color indexed="81"/>
            <rFont val="Tahoma"/>
            <family val="2"/>
          </rPr>
          <t>Ferdi:</t>
        </r>
        <r>
          <rPr>
            <sz val="9"/>
            <color indexed="81"/>
            <rFont val="Tahoma"/>
            <family val="2"/>
          </rPr>
          <t xml:space="preserve">
2020: New store added (960m2)
</t>
        </r>
        <r>
          <rPr>
            <b/>
            <sz val="9"/>
            <color indexed="81"/>
            <rFont val="Tahoma"/>
            <family val="2"/>
          </rPr>
          <t>Pieter:</t>
        </r>
        <r>
          <rPr>
            <sz val="9"/>
            <color indexed="81"/>
            <rFont val="Tahoma"/>
            <family val="2"/>
          </rPr>
          <t xml:space="preserve">
2021: No change to buildings</t>
        </r>
      </text>
    </comment>
    <comment ref="D18" authorId="1" shapeId="0" xr:uid="{993E2395-8C44-47E0-AC52-5C7105067230}">
      <text>
        <r>
          <rPr>
            <b/>
            <sz val="9"/>
            <color indexed="81"/>
            <rFont val="Tahoma"/>
            <family val="2"/>
          </rPr>
          <t>FP:</t>
        </r>
        <r>
          <rPr>
            <sz val="9"/>
            <color indexed="81"/>
            <rFont val="Tahoma"/>
            <family val="2"/>
          </rPr>
          <t xml:space="preserve">
2019: New engineering office added (280m2) + new change house added (714m2).
</t>
        </r>
        <r>
          <rPr>
            <b/>
            <sz val="9"/>
            <color indexed="81"/>
            <rFont val="Tahoma"/>
            <family val="2"/>
          </rPr>
          <t>Pieter:</t>
        </r>
        <r>
          <rPr>
            <sz val="9"/>
            <color indexed="81"/>
            <rFont val="Tahoma"/>
            <family val="2"/>
          </rPr>
          <t xml:space="preserve">
2021: No change to buildings</t>
        </r>
      </text>
    </comment>
    <comment ref="D20" authorId="1" shapeId="0" xr:uid="{00000000-0006-0000-0200-000001000000}">
      <text>
        <r>
          <rPr>
            <b/>
            <sz val="9"/>
            <color indexed="81"/>
            <rFont val="Tahoma"/>
            <family val="2"/>
          </rPr>
          <t>FP:</t>
        </r>
        <r>
          <rPr>
            <sz val="9"/>
            <color indexed="81"/>
            <rFont val="Tahoma"/>
            <family val="2"/>
          </rPr>
          <t xml:space="preserve">
2018: Reduced by 700m2 for removal of overhead electrical line to East Pit
2019: Reduced by 197m2 for old Village house removed. 
2020: Beeshoek to provide dimensions for South Mine laundry - plan supplied does not indicate dimensions.
</t>
        </r>
        <r>
          <rPr>
            <b/>
            <sz val="9"/>
            <color indexed="81"/>
            <rFont val="Tahoma"/>
            <family val="2"/>
          </rPr>
          <t>Pieter:</t>
        </r>
        <r>
          <rPr>
            <sz val="9"/>
            <color indexed="81"/>
            <rFont val="Tahoma"/>
            <family val="2"/>
          </rPr>
          <t xml:space="preserve">
2021: Don't know if area was added, measured form aerial photo as 145m² and added.</t>
        </r>
      </text>
    </comment>
    <comment ref="D27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>FP:</t>
        </r>
        <r>
          <rPr>
            <sz val="9"/>
            <color indexed="81"/>
            <rFont val="Tahoma"/>
            <family val="2"/>
          </rPr>
          <t xml:space="preserve">
2018: 5000m2 removed for Village Gravel road rehab in 2018
2020: 42150m2 added for new gravel haul road
</t>
        </r>
        <r>
          <rPr>
            <b/>
            <sz val="9"/>
            <color indexed="81"/>
            <rFont val="Tahoma"/>
            <family val="2"/>
          </rPr>
          <t>Pieter:</t>
        </r>
        <r>
          <rPr>
            <sz val="9"/>
            <color indexed="81"/>
            <rFont val="Tahoma"/>
            <family val="2"/>
          </rPr>
          <t xml:space="preserve">
No change</t>
        </r>
      </text>
    </comment>
    <comment ref="D35" authorId="1" shapeId="0" xr:uid="{48567AB0-F2D7-4544-85FA-CD879D88C86B}">
      <text>
        <r>
          <rPr>
            <b/>
            <sz val="9"/>
            <color indexed="81"/>
            <rFont val="Tahoma"/>
            <family val="2"/>
          </rPr>
          <t>FP:</t>
        </r>
        <r>
          <rPr>
            <sz val="9"/>
            <color indexed="81"/>
            <rFont val="Tahoma"/>
            <family val="2"/>
          </rPr>
          <t xml:space="preserve">
2019: Concrete slab adjacent to new change house added (100m2).
2020: 85m2 added for concrete slabs at new storm water dam + 98m2 added for concrete slab at scrap yard + 15m2 added for new speed bumps + new storm water silt trap added (780m2) + new sump at jig plant (3.9m2)
Pieter:
2021:Concrete slab at north mine salvage yard 60m² added.
Concrete slab at north mine store 875m² added
Secondary crusher oil room bundwall 11.5m² added</t>
        </r>
      </text>
    </comment>
    <comment ref="D40" authorId="0" shapeId="0" xr:uid="{5590E932-74E5-477D-9C55-21711A586B28}">
      <text>
        <r>
          <rPr>
            <b/>
            <sz val="9"/>
            <color indexed="81"/>
            <rFont val="Tahoma"/>
            <family val="2"/>
          </rPr>
          <t>Ferdi:</t>
        </r>
        <r>
          <rPr>
            <sz val="9"/>
            <color indexed="81"/>
            <rFont val="Tahoma"/>
            <family val="2"/>
          </rPr>
          <t xml:space="preserve">
2020: 2434m added for new buried pipelines</t>
        </r>
      </text>
    </comment>
    <comment ref="D44" authorId="0" shapeId="0" xr:uid="{F2CE8D0A-4AC7-4A06-85AF-41D48CF9CD19}">
      <text>
        <r>
          <rPr>
            <b/>
            <sz val="9"/>
            <color indexed="81"/>
            <rFont val="Tahoma"/>
            <family val="2"/>
          </rPr>
          <t>Ferdi:</t>
        </r>
        <r>
          <rPr>
            <sz val="9"/>
            <color indexed="81"/>
            <rFont val="Tahoma"/>
            <family val="2"/>
          </rPr>
          <t xml:space="preserve">
2020: 510m added for new 400kv buried cable</t>
        </r>
      </text>
    </comment>
    <comment ref="D47" authorId="0" shapeId="0" xr:uid="{6D91E9C2-3467-4298-9857-8923149C2F63}">
      <text>
        <r>
          <rPr>
            <b/>
            <sz val="9"/>
            <color indexed="81"/>
            <rFont val="Tahoma"/>
            <family val="2"/>
          </rPr>
          <t>Ferdi:</t>
        </r>
        <r>
          <rPr>
            <sz val="9"/>
            <color indexed="81"/>
            <rFont val="Tahoma"/>
            <family val="2"/>
          </rPr>
          <t xml:space="preserve">
2020: 630m of new fences added
</t>
        </r>
      </text>
    </comment>
    <comment ref="D54" authorId="0" shapeId="0" xr:uid="{9C34D64E-32F1-4FEE-A3DA-9D43486A8AB5}">
      <text>
        <r>
          <rPr>
            <b/>
            <sz val="9"/>
            <color indexed="81"/>
            <rFont val="Tahoma"/>
            <family val="2"/>
          </rPr>
          <t>Ferdi:</t>
        </r>
        <r>
          <rPr>
            <sz val="9"/>
            <color indexed="81"/>
            <rFont val="Tahoma"/>
            <family val="2"/>
          </rPr>
          <t xml:space="preserve">
2020: Re-adjusted for remainder only
</t>
        </r>
        <r>
          <rPr>
            <b/>
            <sz val="9"/>
            <color indexed="81"/>
            <rFont val="Tahoma"/>
            <family val="2"/>
          </rPr>
          <t>Pieter:</t>
        </r>
        <r>
          <rPr>
            <sz val="9"/>
            <color indexed="81"/>
            <rFont val="Tahoma"/>
            <family val="2"/>
          </rPr>
          <t xml:space="preserve">
2021: Unchanged</t>
        </r>
      </text>
    </comment>
    <comment ref="D55" authorId="0" shapeId="0" xr:uid="{F2435A8C-4030-4C2B-A595-3443C1EB25B9}">
      <text>
        <r>
          <rPr>
            <b/>
            <sz val="9"/>
            <color indexed="81"/>
            <rFont val="Tahoma"/>
            <family val="2"/>
          </rPr>
          <t>Ferdi:</t>
        </r>
        <r>
          <rPr>
            <sz val="9"/>
            <color indexed="81"/>
            <rFont val="Tahoma"/>
            <family val="2"/>
          </rPr>
          <t xml:space="preserve">
2020: Re-adjusted for remainder only
</t>
        </r>
        <r>
          <rPr>
            <b/>
            <sz val="9"/>
            <color indexed="81"/>
            <rFont val="Tahoma"/>
            <family val="2"/>
          </rPr>
          <t>Pieter:</t>
        </r>
        <r>
          <rPr>
            <sz val="9"/>
            <color indexed="81"/>
            <rFont val="Tahoma"/>
            <family val="2"/>
          </rPr>
          <t xml:space="preserve">
2021: Unchanged</t>
        </r>
      </text>
    </comment>
    <comment ref="D56" authorId="0" shapeId="0" xr:uid="{5AE9A3F5-9A93-441D-8DFB-0E5EF836DD97}">
      <text>
        <r>
          <rPr>
            <b/>
            <sz val="9"/>
            <color indexed="81"/>
            <rFont val="Tahoma"/>
            <family val="2"/>
          </rPr>
          <t>Ferdi:</t>
        </r>
        <r>
          <rPr>
            <sz val="9"/>
            <color indexed="81"/>
            <rFont val="Tahoma"/>
            <family val="2"/>
          </rPr>
          <t xml:space="preserve">
2020: Re-adjusted for remainder only
</t>
        </r>
        <r>
          <rPr>
            <b/>
            <sz val="9"/>
            <color indexed="81"/>
            <rFont val="Tahoma"/>
            <family val="2"/>
          </rPr>
          <t>Pieter:</t>
        </r>
        <r>
          <rPr>
            <sz val="9"/>
            <color indexed="81"/>
            <rFont val="Tahoma"/>
            <family val="2"/>
          </rPr>
          <t xml:space="preserve">
2021: Unchanged</t>
        </r>
      </text>
    </comment>
    <comment ref="D57" authorId="0" shapeId="0" xr:uid="{0E031913-BA4C-4616-BB72-29BADE8458B1}">
      <text>
        <r>
          <rPr>
            <b/>
            <sz val="9"/>
            <color indexed="81"/>
            <rFont val="Tahoma"/>
            <family val="2"/>
          </rPr>
          <t xml:space="preserve">Ferdi
</t>
        </r>
        <r>
          <rPr>
            <sz val="9"/>
            <color indexed="81"/>
            <rFont val="Tahoma"/>
            <family val="2"/>
          </rPr>
          <t xml:space="preserve">2020: Re-adjusted for remainder only
</t>
        </r>
        <r>
          <rPr>
            <b/>
            <sz val="9"/>
            <color indexed="81"/>
            <rFont val="Tahoma"/>
            <family val="2"/>
          </rPr>
          <t>Pieter:</t>
        </r>
        <r>
          <rPr>
            <sz val="9"/>
            <color indexed="81"/>
            <rFont val="Tahoma"/>
            <family val="2"/>
          </rPr>
          <t xml:space="preserve">
2021: Unchanged</t>
        </r>
      </text>
    </comment>
    <comment ref="D59" authorId="0" shapeId="0" xr:uid="{B8C3ACC1-C0ED-461A-B28B-25CB62D18B6B}">
      <text>
        <r>
          <rPr>
            <b/>
            <sz val="9"/>
            <color indexed="81"/>
            <rFont val="Tahoma"/>
            <family val="2"/>
          </rPr>
          <t>Ferdi:</t>
        </r>
        <r>
          <rPr>
            <sz val="9"/>
            <color indexed="81"/>
            <rFont val="Tahoma"/>
            <family val="2"/>
          </rPr>
          <t xml:space="preserve">
2020: Re-adjusted for remainder only
</t>
        </r>
        <r>
          <rPr>
            <b/>
            <sz val="9"/>
            <color indexed="81"/>
            <rFont val="Tahoma"/>
            <family val="2"/>
          </rPr>
          <t>Pieter:</t>
        </r>
        <r>
          <rPr>
            <sz val="9"/>
            <color indexed="81"/>
            <rFont val="Tahoma"/>
            <family val="2"/>
          </rPr>
          <t xml:space="preserve">
2021: Unchanged</t>
        </r>
      </text>
    </comment>
    <comment ref="D60" authorId="0" shapeId="0" xr:uid="{84641C0A-2E63-433C-AA23-9F58745CCC44}">
      <text>
        <r>
          <rPr>
            <b/>
            <sz val="9"/>
            <color indexed="81"/>
            <rFont val="Tahoma"/>
            <family val="2"/>
          </rPr>
          <t>Ferdi:</t>
        </r>
        <r>
          <rPr>
            <sz val="9"/>
            <color indexed="81"/>
            <rFont val="Tahoma"/>
            <family val="2"/>
          </rPr>
          <t xml:space="preserve">
2020: Re-adjusted for remainder only
</t>
        </r>
        <r>
          <rPr>
            <b/>
            <sz val="9"/>
            <color indexed="81"/>
            <rFont val="Tahoma"/>
            <family val="2"/>
          </rPr>
          <t>Pieter:</t>
        </r>
        <r>
          <rPr>
            <sz val="9"/>
            <color indexed="81"/>
            <rFont val="Tahoma"/>
            <family val="2"/>
          </rPr>
          <t xml:space="preserve">
2021: Unchanged</t>
        </r>
      </text>
    </comment>
    <comment ref="D61" authorId="0" shapeId="0" xr:uid="{43C9D4EF-CDD4-4CA8-A62B-5CBB1DF02958}">
      <text>
        <r>
          <rPr>
            <b/>
            <sz val="9"/>
            <color indexed="81"/>
            <rFont val="Tahoma"/>
            <family val="2"/>
          </rPr>
          <t>Ferdi:</t>
        </r>
        <r>
          <rPr>
            <sz val="9"/>
            <color indexed="81"/>
            <rFont val="Tahoma"/>
            <family val="2"/>
          </rPr>
          <t xml:space="preserve">
2020: Re-adjusted for remainder only
</t>
        </r>
        <r>
          <rPr>
            <b/>
            <sz val="9"/>
            <color indexed="81"/>
            <rFont val="Tahoma"/>
            <family val="2"/>
          </rPr>
          <t>Pieter:</t>
        </r>
        <r>
          <rPr>
            <sz val="9"/>
            <color indexed="81"/>
            <rFont val="Tahoma"/>
            <family val="2"/>
          </rPr>
          <t xml:space="preserve">
2021: Unchanged</t>
        </r>
      </text>
    </comment>
    <comment ref="D66" authorId="2" shapeId="0" xr:uid="{00000000-0006-0000-0200-000003000000}">
      <text>
        <r>
          <rPr>
            <b/>
            <sz val="9"/>
            <color indexed="81"/>
            <rFont val="Tahoma"/>
            <family val="2"/>
          </rPr>
          <t>Ferdi Pieterse:</t>
        </r>
        <r>
          <rPr>
            <sz val="9"/>
            <color indexed="81"/>
            <rFont val="Tahoma"/>
            <family val="2"/>
          </rPr>
          <t xml:space="preserve">
Provisional estimate
(1500m2 @ 10m depth)</t>
        </r>
      </text>
    </comment>
    <comment ref="D67" authorId="3" shapeId="0" xr:uid="{9699BCB7-DED2-4C17-BE62-0AD7C95F6D5A}">
      <text>
        <r>
          <rPr>
            <b/>
            <sz val="9"/>
            <color indexed="81"/>
            <rFont val="Tahoma"/>
            <family val="2"/>
          </rPr>
          <t>Heleen Bredenhann:</t>
        </r>
        <r>
          <rPr>
            <sz val="9"/>
            <color indexed="81"/>
            <rFont val="Tahoma"/>
            <family val="2"/>
          </rPr>
          <t xml:space="preserve">
2020: 3.18ha backfilled according to information received from Beeshoek on 19 June 2020</t>
        </r>
      </text>
    </comment>
    <comment ref="D68" authorId="2" shapeId="0" xr:uid="{00000000-0006-0000-0200-000004000000}">
      <text>
        <r>
          <rPr>
            <b/>
            <sz val="9"/>
            <color indexed="81"/>
            <rFont val="Tahoma"/>
            <family val="2"/>
          </rPr>
          <t>Ferdi Pieterse:</t>
        </r>
        <r>
          <rPr>
            <sz val="9"/>
            <color indexed="81"/>
            <rFont val="Tahoma"/>
            <family val="2"/>
          </rPr>
          <t xml:space="preserve">
Estimated
</t>
        </r>
      </text>
    </comment>
    <comment ref="D70" authorId="2" shapeId="0" xr:uid="{00000000-0006-0000-0200-000005000000}">
      <text>
        <r>
          <rPr>
            <b/>
            <sz val="9"/>
            <color indexed="81"/>
            <rFont val="Tahoma"/>
            <family val="2"/>
          </rPr>
          <t>Ferdi Pieterse:</t>
        </r>
        <r>
          <rPr>
            <sz val="9"/>
            <color indexed="81"/>
            <rFont val="Tahoma"/>
            <family val="2"/>
          </rPr>
          <t xml:space="preserve">
Estimated</t>
        </r>
      </text>
    </comment>
    <comment ref="D72" authorId="0" shapeId="0" xr:uid="{80AD71E2-F943-4BEE-BA07-FDD8F897D21B}">
      <text>
        <r>
          <rPr>
            <b/>
            <sz val="9"/>
            <color indexed="81"/>
            <rFont val="Tahoma"/>
            <family val="2"/>
          </rPr>
          <t>Ferdi:</t>
        </r>
        <r>
          <rPr>
            <sz val="9"/>
            <color indexed="81"/>
            <rFont val="Tahoma"/>
            <family val="2"/>
          </rPr>
          <t xml:space="preserve">
Assumes 3m nominal depth</t>
        </r>
      </text>
    </comment>
    <comment ref="D73" authorId="2" shapeId="0" xr:uid="{00000000-0006-0000-0200-000006000000}">
      <text>
        <r>
          <rPr>
            <b/>
            <sz val="9"/>
            <color indexed="81"/>
            <rFont val="Tahoma"/>
            <family val="2"/>
          </rPr>
          <t>Ferdi Pieterse:</t>
        </r>
        <r>
          <rPr>
            <sz val="9"/>
            <color indexed="81"/>
            <rFont val="Tahoma"/>
            <family val="2"/>
          </rPr>
          <t xml:space="preserve">
Estimated
</t>
        </r>
      </text>
    </comment>
    <comment ref="D77" authorId="3" shapeId="0" xr:uid="{031FE030-44F2-4115-8703-7FBDB924CEC7}">
      <text>
        <r>
          <rPr>
            <b/>
            <sz val="9"/>
            <color indexed="81"/>
            <rFont val="Tahoma"/>
            <family val="2"/>
          </rPr>
          <t>Heleen Bredenhann:</t>
        </r>
        <r>
          <rPr>
            <sz val="9"/>
            <color indexed="81"/>
            <rFont val="Tahoma"/>
            <family val="2"/>
          </rPr>
          <t xml:space="preserve">
2020: remainder of profiling inserted as per Beeshoek information received on 19 June2020.
</t>
        </r>
        <r>
          <rPr>
            <b/>
            <sz val="9"/>
            <color indexed="81"/>
            <rFont val="Tahoma"/>
            <family val="2"/>
          </rPr>
          <t>Pieter:</t>
        </r>
        <r>
          <rPr>
            <sz val="9"/>
            <color indexed="81"/>
            <rFont val="Tahoma"/>
            <family val="2"/>
          </rPr>
          <t xml:space="preserve">
No change</t>
        </r>
      </text>
    </comment>
    <comment ref="D78" authorId="3" shapeId="0" xr:uid="{D0952A87-EF36-46EF-ABDA-6AD6FB6CE896}">
      <text>
        <r>
          <rPr>
            <b/>
            <sz val="9"/>
            <color indexed="81"/>
            <rFont val="Tahoma"/>
            <family val="2"/>
          </rPr>
          <t>Heleen Bredenhann:</t>
        </r>
        <r>
          <rPr>
            <sz val="9"/>
            <color indexed="81"/>
            <rFont val="Tahoma"/>
            <family val="2"/>
          </rPr>
          <t xml:space="preserve">
2020: remainder to be profiled as per information received from Beeshoek on 19 June 2020
</t>
        </r>
        <r>
          <rPr>
            <b/>
            <sz val="9"/>
            <color indexed="81"/>
            <rFont val="Tahoma"/>
            <family val="2"/>
          </rPr>
          <t>Pieter:</t>
        </r>
        <r>
          <rPr>
            <sz val="9"/>
            <color indexed="81"/>
            <rFont val="Tahoma"/>
            <family val="2"/>
          </rPr>
          <t xml:space="preserve">
2021: No change</t>
        </r>
      </text>
    </comment>
    <comment ref="D79" authorId="3" shapeId="0" xr:uid="{0EA36B13-ED51-4DCD-B0D2-71AA71F0418F}">
      <text>
        <r>
          <rPr>
            <b/>
            <sz val="9"/>
            <color indexed="81"/>
            <rFont val="Tahoma"/>
            <family val="2"/>
          </rPr>
          <t>Heleen Bredenhann:</t>
        </r>
        <r>
          <rPr>
            <sz val="9"/>
            <color indexed="81"/>
            <rFont val="Tahoma"/>
            <family val="2"/>
          </rPr>
          <t xml:space="preserve">
2020: remainder to be profiled based on information received from Beeshoek on 19 June 2020
</t>
        </r>
        <r>
          <rPr>
            <b/>
            <sz val="9"/>
            <color indexed="81"/>
            <rFont val="Tahoma"/>
            <family val="2"/>
          </rPr>
          <t>Pieter:</t>
        </r>
        <r>
          <rPr>
            <sz val="9"/>
            <color indexed="81"/>
            <rFont val="Tahoma"/>
            <family val="2"/>
          </rPr>
          <t xml:space="preserve">
2021: No change</t>
        </r>
      </text>
    </comment>
    <comment ref="D81" authorId="2" shapeId="0" xr:uid="{00000000-0006-0000-0200-000007000000}">
      <text>
        <r>
          <rPr>
            <b/>
            <sz val="9"/>
            <color indexed="81"/>
            <rFont val="Tahoma"/>
            <family val="2"/>
          </rPr>
          <t>Ferdi Pieterse:</t>
        </r>
        <r>
          <rPr>
            <sz val="9"/>
            <color indexed="81"/>
            <rFont val="Tahoma"/>
            <family val="2"/>
          </rPr>
          <t xml:space="preserve">
2020: remainder reduced by 3,1323ha based on information received from Beeshoek on 19 June 2020
</t>
        </r>
        <r>
          <rPr>
            <b/>
            <sz val="9"/>
            <color indexed="81"/>
            <rFont val="Tahoma"/>
            <family val="2"/>
          </rPr>
          <t>Pieter:</t>
        </r>
        <r>
          <rPr>
            <sz val="9"/>
            <color indexed="81"/>
            <rFont val="Tahoma"/>
            <family val="2"/>
          </rPr>
          <t xml:space="preserve">
2021: 78215m² additionally shaped</t>
        </r>
      </text>
    </comment>
    <comment ref="D83" authorId="2" shapeId="0" xr:uid="{00000000-0006-0000-0200-000008000000}">
      <text>
        <r>
          <rPr>
            <b/>
            <sz val="9"/>
            <color indexed="81"/>
            <rFont val="Tahoma"/>
            <family val="2"/>
          </rPr>
          <t>Ferdi Pieterse:</t>
        </r>
        <r>
          <rPr>
            <sz val="9"/>
            <color indexed="81"/>
            <rFont val="Tahoma"/>
            <family val="2"/>
          </rPr>
          <t xml:space="preserve">
Will receive ± 50Mt of waste in total. Remaining  ± 50 Mt will be backfilled into BF Pit &amp; West Pit
2019: Footprint expansion of 6500m2 added for growth from 2018 to 2019.
</t>
        </r>
        <r>
          <rPr>
            <b/>
            <sz val="9"/>
            <color indexed="81"/>
            <rFont val="Tahoma"/>
            <family val="2"/>
          </rPr>
          <t>Pieter:</t>
        </r>
        <r>
          <rPr>
            <sz val="9"/>
            <color indexed="81"/>
            <rFont val="Tahoma"/>
            <family val="2"/>
          </rPr>
          <t xml:space="preserve">
2021:Received additional waste of 2500000m³ until Mar 2021 and will receive additional 2736995m² until end June 2021, but footprint remains, just increase on slope area. Allow for 4% increase overall</t>
        </r>
      </text>
    </comment>
    <comment ref="D84" authorId="1" shapeId="0" xr:uid="{14915F9D-279E-4274-9812-7896EF1F25CB}">
      <text>
        <r>
          <rPr>
            <b/>
            <sz val="9"/>
            <color indexed="81"/>
            <rFont val="Tahoma"/>
            <family val="2"/>
          </rPr>
          <t>FP:</t>
        </r>
        <r>
          <rPr>
            <sz val="9"/>
            <color indexed="81"/>
            <rFont val="Tahoma"/>
            <family val="2"/>
          </rPr>
          <t xml:space="preserve">
2019: 30000m2 added for growth from 2018-2019.
2020: 17606m2 added for growth from 2019 - 2020.
</t>
        </r>
        <r>
          <rPr>
            <b/>
            <sz val="9"/>
            <color indexed="81"/>
            <rFont val="Tahoma"/>
            <family val="2"/>
          </rPr>
          <t>Pieter:</t>
        </r>
        <r>
          <rPr>
            <sz val="9"/>
            <color indexed="81"/>
            <rFont val="Tahoma"/>
            <family val="2"/>
          </rPr>
          <t xml:space="preserve">
2021: 299344m³ added up to Mar, additional 119683 will be added to Jun 2021. Additional area 24741</t>
        </r>
      </text>
    </comment>
    <comment ref="D97" authorId="1" shapeId="0" xr:uid="{ADE109FF-EC04-43D2-AE10-DB589A2B0AF8}">
      <text>
        <r>
          <rPr>
            <b/>
            <sz val="9"/>
            <color indexed="81"/>
            <rFont val="Tahoma"/>
            <family val="2"/>
          </rPr>
          <t>FP:</t>
        </r>
        <r>
          <rPr>
            <sz val="9"/>
            <color indexed="81"/>
            <rFont val="Tahoma"/>
            <family val="2"/>
          </rPr>
          <t xml:space="preserve">
2019: Storm Water dam construction area included.</t>
        </r>
      </text>
    </comment>
    <comment ref="D101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FP:</t>
        </r>
        <r>
          <rPr>
            <sz val="9"/>
            <color indexed="81"/>
            <rFont val="Tahoma"/>
            <family val="2"/>
          </rPr>
          <t xml:space="preserve">
2018: Reduced to two years (assume all artificial surface water bodies will have been removed by end of year 2).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Ferdi Pieterse</author>
  </authors>
  <commentList>
    <comment ref="C3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Ferdi Pieterse:</t>
        </r>
        <r>
          <rPr>
            <sz val="9"/>
            <color indexed="81"/>
            <rFont val="Tahoma"/>
            <family val="2"/>
          </rPr>
          <t xml:space="preserve">
Rate accounts for new berms</t>
        </r>
      </text>
    </comment>
  </commentList>
</comments>
</file>

<file path=xl/sharedStrings.xml><?xml version="1.0" encoding="utf-8"?>
<sst xmlns="http://schemas.openxmlformats.org/spreadsheetml/2006/main" count="816" uniqueCount="294">
  <si>
    <t>Ref Nr.</t>
  </si>
  <si>
    <t>Cost Item</t>
  </si>
  <si>
    <t>Rate</t>
  </si>
  <si>
    <t>Unit</t>
  </si>
  <si>
    <t>Notes</t>
  </si>
  <si>
    <t>Assessment Date:</t>
  </si>
  <si>
    <t>Globesight (Pty) Ltd</t>
  </si>
  <si>
    <t>Item Description</t>
  </si>
  <si>
    <t>Quantity</t>
  </si>
  <si>
    <t>Rate (ZAR)</t>
  </si>
  <si>
    <t>Item Amount (ZAR)</t>
  </si>
  <si>
    <t>Steel Infrastructure</t>
  </si>
  <si>
    <t>Concrete Infrastructure</t>
  </si>
  <si>
    <t>Brick Buildings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</si>
  <si>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</si>
  <si>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</si>
  <si>
    <t>m</t>
  </si>
  <si>
    <t>Roads</t>
  </si>
  <si>
    <t>Fences</t>
  </si>
  <si>
    <t>Total (ZAR)</t>
  </si>
  <si>
    <t>Brick Structures</t>
  </si>
  <si>
    <t>Waste Removal/Disposal</t>
  </si>
  <si>
    <t>Water Management</t>
  </si>
  <si>
    <t>Cut casing and cap borehole</t>
  </si>
  <si>
    <t>Railway Lines</t>
  </si>
  <si>
    <t>Earth Works</t>
  </si>
  <si>
    <t>Annum</t>
  </si>
  <si>
    <t>General Surface Rehabilitation</t>
  </si>
  <si>
    <t>Rate Source</t>
  </si>
  <si>
    <t>Item</t>
  </si>
  <si>
    <t>Surface Water Quality Monitoring</t>
  </si>
  <si>
    <t>Groundwater Quality Monitoring</t>
  </si>
  <si>
    <t>Vegetation establishment &amp; Distribution Monitoring</t>
  </si>
  <si>
    <t>Land Stability Monitoring</t>
  </si>
  <si>
    <t>Demolish all reinforced concrete foundations/bases/slabs/floors</t>
  </si>
  <si>
    <t>Demolish brick structure, load and spoil (on site)</t>
  </si>
  <si>
    <t>NPK Civils</t>
  </si>
  <si>
    <t>Dust suppression</t>
  </si>
  <si>
    <t>Preliminary &amp; General (6%)</t>
  </si>
  <si>
    <t>Contingency (10%)</t>
  </si>
  <si>
    <t>Environmental Management</t>
  </si>
  <si>
    <t>Water tanker for dust dispersion reduction and management</t>
  </si>
  <si>
    <t xml:space="preserve">Assmang - Beeshoek Iron Ore Mine: </t>
  </si>
  <si>
    <t>Annual Rehabilitation Plan - 1 July 2016 to 30 June 2017</t>
  </si>
  <si>
    <t>Powerlines &amp; Communication Lines</t>
  </si>
  <si>
    <t>Pipelines</t>
  </si>
  <si>
    <t>Steel Structures</t>
  </si>
  <si>
    <t>North Mine</t>
  </si>
  <si>
    <t>South Mine</t>
  </si>
  <si>
    <t>Conveyors</t>
  </si>
  <si>
    <t>Concrete Structures</t>
  </si>
  <si>
    <t>Earthworks</t>
  </si>
  <si>
    <t>North &amp; South Mine</t>
  </si>
  <si>
    <t>Dismantle conveyors to salvage yard</t>
  </si>
  <si>
    <t>Demolish surfaced (tarred) roads, rip and shape</t>
  </si>
  <si>
    <t>Piping, cables &amp; lines</t>
  </si>
  <si>
    <t>Dismantle and remove overhead powerlines to stockpile</t>
  </si>
  <si>
    <t>Dismantle and remove piping on surface to stockpile</t>
  </si>
  <si>
    <t>Dismantle and remove communication lines on surface to stockpile</t>
  </si>
  <si>
    <t>Boreholes</t>
  </si>
  <si>
    <t>Opencast Rehabilitation (Enviro Berm)</t>
  </si>
  <si>
    <t>Rehabilitation of dumps and spoils</t>
  </si>
  <si>
    <t>Village Pit Dump</t>
  </si>
  <si>
    <t>Discard Dump B (screening dump South Mine)</t>
  </si>
  <si>
    <t>Includes all structural steel, pipes, gantries, containers requiring 25T crane</t>
  </si>
  <si>
    <t>Dismantle steel structure high with heavy internal steel</t>
  </si>
  <si>
    <t>Dismantle low to medium height steel buildings/structures to salvage yard</t>
  </si>
  <si>
    <t>Includes all structural steel, pipes, gantries, containers requiring 100T crane (I.e. large vehicle workshops)</t>
  </si>
  <si>
    <t>Enviro Berm</t>
  </si>
  <si>
    <t>Maintenance and Aftercare</t>
  </si>
  <si>
    <t>Demolish unsurfaced gravel roads, rip and shape</t>
  </si>
  <si>
    <t>Normal two-way access road (avg. width 8-10m).</t>
  </si>
  <si>
    <t>Demolish unsurfaced haul roads, rip and shape</t>
  </si>
  <si>
    <t>Extended width haul roads (avg. width 18-20m).</t>
  </si>
  <si>
    <t>Rip and shape remaining disturbed surfaces</t>
  </si>
  <si>
    <t>Socio-Economics</t>
  </si>
  <si>
    <t>Sub Total</t>
  </si>
  <si>
    <t>Management and Administration</t>
  </si>
  <si>
    <t>Item Amount</t>
  </si>
  <si>
    <t xml:space="preserve">Rate </t>
  </si>
  <si>
    <t xml:space="preserve">Item Amount </t>
  </si>
  <si>
    <t>Waste Management &amp; Disposal</t>
  </si>
  <si>
    <t>Rehabilitation (Backfilling)</t>
  </si>
  <si>
    <t>Village Pit Storm Water Dam</t>
  </si>
  <si>
    <t>Assumed 2.5m deep avg. bulldozing. Rip &amp; shape to 1:3 slopes with soil containment berms.</t>
  </si>
  <si>
    <t>Remove piping on surface, cut to stockpile. Assume 40 days for completion.</t>
  </si>
  <si>
    <t>Remove overhead powerlines, cut to stockpile. Assume 20 days for completion.</t>
  </si>
  <si>
    <t>Remove communication lines on surface, cut to stockpile. Assume 20 days for completion.</t>
  </si>
  <si>
    <t>West Pit (North)</t>
  </si>
  <si>
    <t>Off-grade Dump B</t>
  </si>
  <si>
    <t>Cut to fill within maximum 2km free haul distance. SG = 2.2</t>
  </si>
  <si>
    <t>Backfill 1</t>
  </si>
  <si>
    <t>Backfill 2</t>
  </si>
  <si>
    <t>Cut to fill within maximum 600m free haul.</t>
  </si>
  <si>
    <r>
      <t xml:space="preserve">Final (LOM) Rehabilitation Plan                      </t>
    </r>
    <r>
      <rPr>
        <b/>
        <sz val="11"/>
        <color theme="1"/>
        <rFont val="Calibri"/>
        <family val="2"/>
        <scheme val="minor"/>
      </rPr>
      <t>Evaluator: Globesight (Pty) Ltd</t>
    </r>
  </si>
  <si>
    <t>Interwaste</t>
  </si>
  <si>
    <t>Beeshoek Mine</t>
  </si>
  <si>
    <t>Remove fences to salvage stockpile</t>
  </si>
  <si>
    <t>Dismantle all conveyor lines to salvage stockpile. Assume 60 days for completion.</t>
  </si>
  <si>
    <t>Includes cut to fill on site.</t>
  </si>
  <si>
    <t>Includes pre-stripping, demolishment and spoil to site. Foundations to 1m below surface.</t>
  </si>
  <si>
    <t>Hydrocarbon contaminated materials, asbestos, medical waste.</t>
  </si>
  <si>
    <t xml:space="preserve">3.5m effective height, 2.6m width, with cut-off trench in front (1.5mx1.5m).  </t>
  </si>
  <si>
    <t>Plan Description</t>
  </si>
  <si>
    <t>Amount (excl. VAT)</t>
  </si>
  <si>
    <t>Evaluator:</t>
  </si>
  <si>
    <t>Latent Liability (Post Closure)</t>
  </si>
  <si>
    <t>None at present</t>
  </si>
  <si>
    <t>Rate No.</t>
  </si>
  <si>
    <t>Rehabilitation &amp; Closure Cost Summary                Evaluator: Globesight (Pty) Ltd</t>
  </si>
  <si>
    <t>Financial Provision Requirement</t>
  </si>
  <si>
    <t>Decommissioning / Restoration</t>
  </si>
  <si>
    <t>Decommissioning</t>
  </si>
  <si>
    <t>Restoration</t>
  </si>
  <si>
    <t>2016 figures for comparison purposes</t>
  </si>
  <si>
    <t>2017 figures for comparison purposes</t>
  </si>
  <si>
    <t>Final Rehabilitation Plan (LOM at present value)</t>
  </si>
  <si>
    <t>Annual Rehabilitation Plan - 1 July 2017 to 30 June 2018</t>
  </si>
  <si>
    <t>2018 figures for comparison purposes</t>
  </si>
  <si>
    <t>Annual Rehabilitation Plan - 1 July 2018 to 30 June 2019</t>
  </si>
  <si>
    <t>Annual Rehabilitation Plan - 1 June 2019 to 31 May 2020</t>
  </si>
  <si>
    <t>Item No.</t>
  </si>
  <si>
    <t>8.1</t>
  </si>
  <si>
    <t>Variance %</t>
  </si>
  <si>
    <t>Cut casing to 500mm below surface and install concrete cap &amp; plinth</t>
  </si>
  <si>
    <t>2019 figures for comparison purposes</t>
  </si>
  <si>
    <t>Borrow Pit (Tommy's Field)</t>
  </si>
  <si>
    <t>Dumps and Spoils</t>
  </si>
  <si>
    <t>BN Pit (Source material = GF Waste Dump)</t>
  </si>
  <si>
    <t>HH Pit (Source to be identified)</t>
  </si>
  <si>
    <t>HF Pit (Source Material = Discard Dump)</t>
  </si>
  <si>
    <t>East Pit (Source material = East Pit Waste Dump)</t>
  </si>
  <si>
    <t>Village Pit (Source material = Village Pit WRD)</t>
  </si>
  <si>
    <t>BF Pit (Source material = Village Pit WRD)</t>
  </si>
  <si>
    <t>West Pit (Central &amp; South) (Source material = Village Pit WRD)</t>
  </si>
  <si>
    <t>BNN Pit (Source material = Dumps F5, C7-9, C14, GF WD, F8S, DR4, F7, Quartzite Stockpile</t>
  </si>
  <si>
    <t>HL Pit (30%) (Source to be identified)</t>
  </si>
  <si>
    <t>Domestic Landfill Site (Source material = Shale Dump)</t>
  </si>
  <si>
    <t>Slimes Dam fill to profile (Source to be identified)</t>
  </si>
  <si>
    <t>14.1</t>
  </si>
  <si>
    <t>HH Wase Dump</t>
  </si>
  <si>
    <t>GF Pit/Discard Dump A (Source material = North B Dump, C3, Waste Dump Other North, F1-4)</t>
  </si>
  <si>
    <t>HB Waste Dump</t>
  </si>
  <si>
    <t>North Contaminated Dump</t>
  </si>
  <si>
    <t>East Pit Waste Dump</t>
  </si>
  <si>
    <t>East Pit South Waste Dump</t>
  </si>
  <si>
    <t>HL Pit (70%) (Source to be identified)</t>
  </si>
  <si>
    <t>Assmang - Beeshoek Iron Ore Mine                     Evaluation Date: June 2021</t>
  </si>
  <si>
    <t>Assmang - Beeshoek Iron Ore Mine                        Assessment date: June 2021</t>
  </si>
  <si>
    <t>2020 figures for comparison purposes</t>
  </si>
  <si>
    <t>Measured in GM</t>
  </si>
  <si>
    <t>Comment</t>
  </si>
  <si>
    <t>Don’t see backfill in BNN Pit, but do see backfill in BN Pit</t>
  </si>
  <si>
    <t>See a little backfill in only one pit area</t>
  </si>
  <si>
    <t>Large portion already backfilled</t>
  </si>
  <si>
    <t>GK Pit</t>
  </si>
  <si>
    <t>m²</t>
  </si>
  <si>
    <t>Difference</t>
  </si>
  <si>
    <t>2020 to 2021</t>
  </si>
  <si>
    <r>
      <t xml:space="preserve">Annual Rehabilitation Plan - </t>
    </r>
    <r>
      <rPr>
        <b/>
        <sz val="11"/>
        <rFont val="Calibri"/>
        <family val="2"/>
        <scheme val="minor"/>
      </rPr>
      <t>1 July 2021 to 30 June 2022</t>
    </r>
  </si>
  <si>
    <t>Cost Calculations</t>
  </si>
  <si>
    <t>1.1 High and heavy internal steel structures</t>
  </si>
  <si>
    <t>Base on typical structure 126 x 25 = 3150m²</t>
  </si>
  <si>
    <t>Assume stripping rate of 4m day = 126/4 = 32 days</t>
  </si>
  <si>
    <t>100t Crane truck</t>
  </si>
  <si>
    <t>/day</t>
  </si>
  <si>
    <t>25t Crane Truck</t>
  </si>
  <si>
    <t>Rigger Team</t>
  </si>
  <si>
    <t>Yard Team</t>
  </si>
  <si>
    <t>8t flatbed/crane truck</t>
  </si>
  <si>
    <t>Description</t>
  </si>
  <si>
    <t>Units / No</t>
  </si>
  <si>
    <t>No. days</t>
  </si>
  <si>
    <t>@</t>
  </si>
  <si>
    <t>/m²</t>
  </si>
  <si>
    <t>x 1.2</t>
  </si>
  <si>
    <t>1.2 Low to medium height steel buildings/structures</t>
  </si>
  <si>
    <t>Base on typical structure 30 x 14 = 420m²</t>
  </si>
  <si>
    <t>Assume stripping rate of 10m day = 30/10 = 3 days</t>
  </si>
  <si>
    <t>1.3 Dismantle conveyors</t>
  </si>
  <si>
    <t>5924m of conveyors (Assume free haul 1km)</t>
  </si>
  <si>
    <t>Assume dismantle and stockpile in salvage yard</t>
  </si>
  <si>
    <t>Assume stripping rate of 100m day = 5924/100 = 60days</t>
  </si>
  <si>
    <t>/m</t>
  </si>
  <si>
    <t>2.1 Demolish all reinforced concrete foundations/bases/slabs/floors</t>
  </si>
  <si>
    <t>Assume a rate of 250m³/day with excavator and hydraulic hammer</t>
  </si>
  <si>
    <t>Assume 36900 / 250/day =  148 days</t>
  </si>
  <si>
    <t>45T Excavator</t>
  </si>
  <si>
    <t>Hydraulic hammer</t>
  </si>
  <si>
    <t>Moil</t>
  </si>
  <si>
    <t>Loader</t>
  </si>
  <si>
    <t>40t ADT Tipper</t>
  </si>
  <si>
    <t>3.1 Demolish brick structures, load and spoil (on site)</t>
  </si>
  <si>
    <t>Typical Building = 40 x 10 = 400m²</t>
  </si>
  <si>
    <t>Dismantling Team 8@250</t>
  </si>
  <si>
    <t>1 x D6 Dozer</t>
  </si>
  <si>
    <t>8T Flatbed Truck</t>
  </si>
  <si>
    <t>5m³ Front end Loader</t>
  </si>
  <si>
    <t>6 Waste Removal/Disposal</t>
  </si>
  <si>
    <t>Apply escalation to previous calculations</t>
  </si>
  <si>
    <t>7 Piping, cables &amp; lines</t>
  </si>
  <si>
    <t>8.1 Gravel Roads</t>
  </si>
  <si>
    <t>Assume D8 Dozer</t>
  </si>
  <si>
    <t>1 x D8 Dozer</t>
  </si>
  <si>
    <t>Based on previous calculations on area of 36374m²</t>
  </si>
  <si>
    <t>Rate =</t>
  </si>
  <si>
    <t>(Add water)</t>
  </si>
  <si>
    <t>8.2 Haul Roads</t>
  </si>
  <si>
    <t>20m wide, Dozer can do 1km/day = 20 000m²/day</t>
  </si>
  <si>
    <t>8.3 Sufaced (Tar) Roads</t>
  </si>
  <si>
    <t>D8 Dozer</t>
  </si>
  <si>
    <t>Grader</t>
  </si>
  <si>
    <t>Watercart</t>
  </si>
  <si>
    <t>Based on previous calculations on area of 170506m²/20000m² =  9 Days</t>
  </si>
  <si>
    <t>Disposal of hazardous waste</t>
  </si>
  <si>
    <t>m³      x</t>
  </si>
  <si>
    <t>Total Cost</t>
  </si>
  <si>
    <t>9 Fences</t>
  </si>
  <si>
    <t>10 Railway Lines</t>
  </si>
  <si>
    <t>11 Water Management</t>
  </si>
  <si>
    <t>Assume avearge depth to be bulldozed is 3,5m deepReshape dumps</t>
  </si>
  <si>
    <t>Volume to be bulldozed = 32761*3.5 = 114664m³</t>
  </si>
  <si>
    <t>To reshape 32761m² = 114664/3000 = 42 Days:</t>
  </si>
  <si>
    <t>Allow additional 5 days for berms</t>
  </si>
  <si>
    <t>14.2 Backfill 1</t>
  </si>
  <si>
    <t>Load from dump, haul, dump and level in pit</t>
  </si>
  <si>
    <t>3 x 45T ADT</t>
  </si>
  <si>
    <t>/day/ADT</t>
  </si>
  <si>
    <t>1 Excavtor can load 3 ADT and 1 D8 Dozer can level</t>
  </si>
  <si>
    <t>1 ADT load 20m³ per load @40 trips per day = 800m³ *3 =2400m³</t>
  </si>
  <si>
    <t>40T Excavator</t>
  </si>
  <si>
    <t>4x 40 T ADT</t>
  </si>
  <si>
    <t>14.3 Backfill 2</t>
  </si>
  <si>
    <t>1 ADT load 20m³ per load @60 trips per day = 1200m³ *3 =3600m³</t>
  </si>
  <si>
    <t>3x 40 T ADT</t>
  </si>
  <si>
    <t>19 Environmental Management</t>
  </si>
  <si>
    <t>Double the width of 8.1</t>
  </si>
  <si>
    <t>Therefor 2x 8.1</t>
  </si>
  <si>
    <t>ITEMISED RATES FOR DECOMISSIONING AND REHABILITATION (2021) - BEESHOEK IRON ORE MINE</t>
  </si>
  <si>
    <t>Air Quality Monitoring (PM2.5 &amp; PM10)</t>
  </si>
  <si>
    <t>Annual cost post closure</t>
  </si>
  <si>
    <t>Social &amp; Labour Plan Commitments</t>
  </si>
  <si>
    <t>Annual cost commitment 2021/22</t>
  </si>
  <si>
    <t>HF Environmental Berm to be completed.</t>
  </si>
  <si>
    <t>BF Environment Berm Improvement</t>
  </si>
  <si>
    <t>Removal of the Asbestos to corrugated iron at Village offices.</t>
  </si>
  <si>
    <t>Complete BN Pit  Environmental Berm</t>
  </si>
  <si>
    <t>Notes:</t>
  </si>
  <si>
    <t>Issues to confirm before final submission</t>
  </si>
  <si>
    <t>m³</t>
  </si>
  <si>
    <t>Village Pit Environmental Berm to be completed.</t>
  </si>
  <si>
    <t>Beeshoek Rehabilitation Statistics - 2021 review period</t>
  </si>
  <si>
    <t>Total area rehabilitated since previous assessment (2020)</t>
  </si>
  <si>
    <r>
      <t>m</t>
    </r>
    <r>
      <rPr>
        <b/>
        <sz val="11"/>
        <color theme="1"/>
        <rFont val="Calibri"/>
        <family val="2"/>
      </rPr>
      <t>²</t>
    </r>
  </si>
  <si>
    <t>Dismantle and remove North mine powerline</t>
  </si>
  <si>
    <t>Dismantle and remove Mid-South fencing</t>
  </si>
  <si>
    <t>Slimes dam Pumping station (100%) (steel &amp; concrete)</t>
  </si>
  <si>
    <r>
      <rPr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</rPr>
      <t>²</t>
    </r>
  </si>
  <si>
    <t>Reshape and rehabilitate East Pit Dump (100%)</t>
  </si>
  <si>
    <t>Slope and shape borrow pit near Tommy's Field</t>
  </si>
  <si>
    <t>Dismantle and remove North Mine structures (100%)</t>
  </si>
  <si>
    <t>Remove asbestos Roofing  (house 13)</t>
  </si>
  <si>
    <t>Total area planned to be rehabilitated during 2021/2022 period</t>
  </si>
  <si>
    <r>
      <t>m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</si>
  <si>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Entire area disturbed by mine (at present date)</t>
  </si>
  <si>
    <t>ha</t>
  </si>
  <si>
    <t>Reshape and rehabilitate East Pit Dump Southern Side</t>
  </si>
  <si>
    <t>Reshape Village WRD Western Side</t>
  </si>
  <si>
    <t xml:space="preserve">Reshape GF WRD </t>
  </si>
  <si>
    <t>Reshape EP WRD Second Level</t>
  </si>
  <si>
    <t>HL Pit Backfill</t>
  </si>
  <si>
    <t>1 D8 dozer can shape 3000m³ per day</t>
  </si>
  <si>
    <t>14.2 Profile dumps, spoils, slopes (General Spec)</t>
  </si>
  <si>
    <t>Health &amp; Safety (2%)</t>
  </si>
  <si>
    <t>Profile dumps, spoils, slopes (General Spec)</t>
  </si>
  <si>
    <t>East Pit Waste Rock Dump Reshape Western Side 2nd Level) &amp; complete 2020/2021 planned area.</t>
  </si>
  <si>
    <t>BF2 Pit Backfilling</t>
  </si>
  <si>
    <t>m2</t>
  </si>
  <si>
    <t>Removal of fences, cut to stockpile</t>
  </si>
  <si>
    <t>Rounded Rate</t>
  </si>
  <si>
    <t>Cut hazardous material to hazardous disposal site</t>
  </si>
  <si>
    <t>Rip &amp; shape generally flat surfaces which have undergone footprint disturbance. Assume 50% of area requirement.</t>
  </si>
  <si>
    <t>Slope stabilisation</t>
  </si>
  <si>
    <t>Stabilisation of shaped slopes with water containment berms.</t>
  </si>
  <si>
    <t>Social &amp; Labour Plan 2021/22 Commitments</t>
  </si>
  <si>
    <t>Containment Berms (stabilise shaped dumps)</t>
  </si>
  <si>
    <t>Planned HH Waste Rock Dump Northern Side Environmental Berm</t>
  </si>
  <si>
    <t>Final Rehabilitation Plan (10 yr. LOM - at present value)</t>
  </si>
  <si>
    <t>Dismantle and remove Uitsig structures (100%)</t>
  </si>
  <si>
    <t>(mainly due to increase in maintenance &amp; aftercare and socio-economics)</t>
  </si>
  <si>
    <t>Based on current expenditure incurred by Beeshoek for this service.</t>
  </si>
  <si>
    <t>Remove tar reface to stockpile on-site. 10km free haul limit.</t>
  </si>
  <si>
    <t>8m lengths cut to salvage yard. Cut sleepers to spoil. Cut ballast to spoil.</t>
  </si>
  <si>
    <t>Remove rails, sleepers and ballast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</si>
</sst>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R&quot;#,##0_);[Red]\(&quot;R&quot;#,##0\)"/>
    <numFmt numFmtId="165" formatCode="&quot;R&quot;#,##0.00_);[Red]\(&quot;R&quot;#,##0.00\)"/>
    <numFmt numFmtId="166" formatCode="_(&quot;R&quot;* #,##0.00_);_(&quot;R&quot;* \(#,##0.00\);_(&quot;R&quot;* &quot;-&quot;??_);_(@_)"/>
    <numFmt numFmtId="167" formatCode="&quot;R&quot;\ #,##0.00"/>
    <numFmt numFmtId="168" formatCode="&quot;R&quot;#,##0.00"/>
    <numFmt numFmtId="169" formatCode="_(&quot;R&quot;* #,##0_);_(&quot;R&quot;* \(#,##0\);_(&quot;R&quot;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</borders>
  <cellStyleXfs count="2">
    <xf numFmtId="0" fontId="0" fillId="0" borderId="0"/>
    <xf numFmtId="166" fontId="11" fillId="0" borderId="0" applyFont="0" applyFill="0" applyBorder="0" applyAlignment="0" applyProtection="0"/>
  </cellStyleXfs>
  <cellXfs count="247">
    <xf numFmtId="0" fontId="0" fillId="0" borderId="0" xfId="0"/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0" fillId="0" borderId="1" xfId="0" applyBorder="1"/>
    <xf numFmtId="167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1" xfId="0" applyFill="1" applyBorder="1"/>
    <xf numFmtId="0" fontId="0" fillId="0" borderId="0" xfId="0" applyFill="1"/>
    <xf numFmtId="167" fontId="0" fillId="0" borderId="0" xfId="0" applyNumberFormat="1"/>
    <xf numFmtId="167" fontId="0" fillId="0" borderId="1" xfId="0" applyNumberFormat="1" applyFill="1" applyBorder="1" applyAlignment="1">
      <alignment horizontal="right"/>
    </xf>
    <xf numFmtId="167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7" xfId="0" applyFont="1" applyBorder="1"/>
    <xf numFmtId="167" fontId="0" fillId="0" borderId="6" xfId="0" applyNumberFormat="1" applyBorder="1"/>
    <xf numFmtId="167" fontId="1" fillId="0" borderId="0" xfId="0" applyNumberFormat="1" applyFont="1"/>
    <xf numFmtId="167" fontId="0" fillId="0" borderId="0" xfId="0" applyNumberFormat="1" applyAlignment="1">
      <alignment horizontal="center"/>
    </xf>
    <xf numFmtId="167" fontId="0" fillId="0" borderId="0" xfId="0" applyNumberFormat="1" applyFont="1"/>
    <xf numFmtId="167" fontId="0" fillId="0" borderId="0" xfId="0" applyNumberFormat="1" applyFill="1"/>
    <xf numFmtId="167" fontId="0" fillId="0" borderId="0" xfId="0" applyNumberFormat="1" applyFill="1" applyAlignment="1">
      <alignment horizontal="center"/>
    </xf>
    <xf numFmtId="0" fontId="1" fillId="0" borderId="0" xfId="0" applyFont="1" applyFill="1"/>
    <xf numFmtId="167" fontId="1" fillId="0" borderId="0" xfId="0" applyNumberFormat="1" applyFont="1" applyFill="1" applyAlignment="1">
      <alignment horizontal="center"/>
    </xf>
    <xf numFmtId="2" fontId="0" fillId="0" borderId="0" xfId="0" applyNumberFormat="1"/>
    <xf numFmtId="0" fontId="0" fillId="0" borderId="3" xfId="0" applyBorder="1" applyAlignment="1">
      <alignment horizontal="center"/>
    </xf>
    <xf numFmtId="0" fontId="0" fillId="0" borderId="1" xfId="0" applyFont="1" applyFill="1" applyBorder="1" applyAlignment="1">
      <alignment horizontal="left" indent="1"/>
    </xf>
    <xf numFmtId="0" fontId="0" fillId="0" borderId="1" xfId="0" applyFont="1" applyFill="1" applyBorder="1" applyAlignment="1">
      <alignment horizontal="left" indent="2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1" fillId="0" borderId="3" xfId="0" applyFont="1" applyBorder="1" applyAlignment="1">
      <alignment horizontal="center"/>
    </xf>
    <xf numFmtId="167" fontId="0" fillId="0" borderId="3" xfId="0" applyNumberFormat="1" applyBorder="1"/>
    <xf numFmtId="167" fontId="1" fillId="0" borderId="3" xfId="0" applyNumberFormat="1" applyFont="1" applyBorder="1"/>
    <xf numFmtId="2" fontId="1" fillId="0" borderId="7" xfId="0" applyNumberFormat="1" applyFont="1" applyBorder="1" applyAlignment="1">
      <alignment horizontal="center"/>
    </xf>
    <xf numFmtId="2" fontId="0" fillId="0" borderId="7" xfId="0" applyNumberFormat="1" applyBorder="1"/>
    <xf numFmtId="0" fontId="0" fillId="3" borderId="14" xfId="0" applyFill="1" applyBorder="1" applyAlignment="1"/>
    <xf numFmtId="0" fontId="0" fillId="3" borderId="0" xfId="0" applyFill="1" applyBorder="1" applyAlignment="1"/>
    <xf numFmtId="0" fontId="0" fillId="3" borderId="15" xfId="0" applyFill="1" applyBorder="1" applyAlignment="1"/>
    <xf numFmtId="0" fontId="0" fillId="3" borderId="2" xfId="0" applyFill="1" applyBorder="1" applyAlignment="1"/>
    <xf numFmtId="0" fontId="1" fillId="0" borderId="6" xfId="0" applyFont="1" applyBorder="1" applyAlignment="1">
      <alignment horizontal="center"/>
    </xf>
    <xf numFmtId="0" fontId="0" fillId="3" borderId="8" xfId="0" applyFill="1" applyBorder="1" applyAlignment="1"/>
    <xf numFmtId="0" fontId="0" fillId="3" borderId="18" xfId="0" applyFill="1" applyBorder="1" applyAlignment="1"/>
    <xf numFmtId="2" fontId="0" fillId="0" borderId="7" xfId="0" applyNumberFormat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2" fontId="0" fillId="0" borderId="15" xfId="0" applyNumberFormat="1" applyBorder="1"/>
    <xf numFmtId="167" fontId="0" fillId="0" borderId="2" xfId="0" applyNumberFormat="1" applyBorder="1"/>
    <xf numFmtId="0" fontId="0" fillId="0" borderId="3" xfId="0" applyFont="1" applyFill="1" applyBorder="1" applyAlignment="1">
      <alignment horizontal="left" indent="1"/>
    </xf>
    <xf numFmtId="0" fontId="0" fillId="0" borderId="3" xfId="0" applyFont="1" applyFill="1" applyBorder="1" applyAlignment="1">
      <alignment horizontal="center"/>
    </xf>
    <xf numFmtId="167" fontId="0" fillId="0" borderId="3" xfId="0" applyNumberFormat="1" applyFill="1" applyBorder="1"/>
    <xf numFmtId="0" fontId="0" fillId="0" borderId="3" xfId="0" applyFont="1" applyFill="1" applyBorder="1" applyAlignment="1">
      <alignment horizontal="left" indent="2"/>
    </xf>
    <xf numFmtId="167" fontId="0" fillId="0" borderId="18" xfId="0" applyNumberFormat="1" applyBorder="1"/>
    <xf numFmtId="2" fontId="0" fillId="0" borderId="7" xfId="0" applyNumberFormat="1" applyFill="1" applyBorder="1" applyAlignment="1">
      <alignment horizontal="center"/>
    </xf>
    <xf numFmtId="167" fontId="0" fillId="0" borderId="6" xfId="0" applyNumberFormat="1" applyFill="1" applyBorder="1"/>
    <xf numFmtId="0" fontId="0" fillId="0" borderId="3" xfId="0" applyFill="1" applyBorder="1" applyAlignment="1">
      <alignment horizontal="center"/>
    </xf>
    <xf numFmtId="0" fontId="1" fillId="3" borderId="6" xfId="0" applyFont="1" applyFill="1" applyBorder="1" applyAlignment="1"/>
    <xf numFmtId="2" fontId="0" fillId="0" borderId="7" xfId="0" applyNumberFormat="1" applyFill="1" applyBorder="1" applyAlignment="1">
      <alignment horizontal="right"/>
    </xf>
    <xf numFmtId="2" fontId="0" fillId="0" borderId="1" xfId="0" applyNumberFormat="1" applyFill="1" applyBorder="1" applyAlignment="1">
      <alignment horizontal="right"/>
    </xf>
    <xf numFmtId="167" fontId="1" fillId="0" borderId="10" xfId="0" applyNumberFormat="1" applyFont="1" applyBorder="1"/>
    <xf numFmtId="167" fontId="0" fillId="0" borderId="22" xfId="0" applyNumberFormat="1" applyBorder="1"/>
    <xf numFmtId="2" fontId="0" fillId="0" borderId="20" xfId="0" applyNumberFormat="1" applyBorder="1"/>
    <xf numFmtId="167" fontId="0" fillId="0" borderId="21" xfId="0" applyNumberFormat="1" applyBorder="1"/>
    <xf numFmtId="0" fontId="1" fillId="4" borderId="1" xfId="0" applyFont="1" applyFill="1" applyBorder="1" applyAlignment="1">
      <alignment vertical="center" wrapText="1"/>
    </xf>
    <xf numFmtId="167" fontId="0" fillId="4" borderId="1" xfId="0" applyNumberFormat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3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" xfId="0" applyFont="1" applyFill="1" applyBorder="1" applyAlignment="1">
      <alignment vertical="center" wrapText="1"/>
    </xf>
    <xf numFmtId="2" fontId="0" fillId="0" borderId="15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7" xfId="0" applyNumberFormat="1" applyFill="1" applyBorder="1"/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" xfId="0" applyFont="1" applyBorder="1"/>
    <xf numFmtId="0" fontId="0" fillId="0" borderId="3" xfId="0" applyBorder="1" applyAlignment="1">
      <alignment horizontal="center"/>
    </xf>
    <xf numFmtId="0" fontId="0" fillId="0" borderId="1" xfId="0" applyFont="1" applyBorder="1"/>
    <xf numFmtId="0" fontId="0" fillId="0" borderId="1" xfId="0" applyFill="1" applyBorder="1" applyAlignment="1">
      <alignment horizontal="right"/>
    </xf>
    <xf numFmtId="167" fontId="0" fillId="0" borderId="1" xfId="0" applyNumberFormat="1" applyFill="1" applyBorder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168" fontId="0" fillId="0" borderId="1" xfId="0" applyNumberFormat="1" applyBorder="1"/>
    <xf numFmtId="0" fontId="0" fillId="0" borderId="3" xfId="0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8" fillId="0" borderId="1" xfId="0" applyFont="1" applyFill="1" applyBorder="1" applyAlignment="1">
      <alignment horizontal="left" indent="2"/>
    </xf>
    <xf numFmtId="0" fontId="0" fillId="0" borderId="0" xfId="0" applyBorder="1"/>
    <xf numFmtId="168" fontId="0" fillId="0" borderId="0" xfId="0" applyNumberFormat="1" applyBorder="1"/>
    <xf numFmtId="0" fontId="0" fillId="0" borderId="0" xfId="0" applyFont="1" applyFill="1" applyBorder="1"/>
    <xf numFmtId="0" fontId="1" fillId="0" borderId="0" xfId="0" applyFont="1" applyFill="1" applyBorder="1" applyAlignment="1">
      <alignment horizontal="center"/>
    </xf>
    <xf numFmtId="167" fontId="0" fillId="0" borderId="0" xfId="0" applyNumberFormat="1" applyFill="1" applyBorder="1"/>
    <xf numFmtId="0" fontId="0" fillId="0" borderId="0" xfId="0" applyFill="1" applyBorder="1" applyAlignment="1">
      <alignment horizontal="right"/>
    </xf>
    <xf numFmtId="0" fontId="0" fillId="0" borderId="2" xfId="0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0" borderId="7" xfId="0" applyFill="1" applyBorder="1" applyAlignment="1">
      <alignment horizontal="center"/>
    </xf>
    <xf numFmtId="168" fontId="0" fillId="0" borderId="0" xfId="0" applyNumberFormat="1"/>
    <xf numFmtId="0" fontId="1" fillId="0" borderId="0" xfId="0" applyFont="1"/>
    <xf numFmtId="0" fontId="12" fillId="0" borderId="0" xfId="0" applyFont="1"/>
    <xf numFmtId="169" fontId="0" fillId="0" borderId="0" xfId="1" applyNumberFormat="1" applyFont="1" applyFill="1"/>
    <xf numFmtId="0" fontId="0" fillId="0" borderId="0" xfId="0" quotePrefix="1"/>
    <xf numFmtId="169" fontId="0" fillId="0" borderId="0" xfId="0" applyNumberFormat="1"/>
    <xf numFmtId="169" fontId="0" fillId="0" borderId="9" xfId="0" applyNumberFormat="1" applyBorder="1"/>
    <xf numFmtId="166" fontId="0" fillId="0" borderId="0" xfId="0" applyNumberFormat="1"/>
    <xf numFmtId="169" fontId="0" fillId="0" borderId="0" xfId="0" quotePrefix="1" applyNumberFormat="1"/>
    <xf numFmtId="166" fontId="0" fillId="0" borderId="0" xfId="0" quotePrefix="1" applyNumberFormat="1"/>
    <xf numFmtId="164" fontId="0" fillId="0" borderId="0" xfId="0" applyNumberFormat="1"/>
    <xf numFmtId="165" fontId="0" fillId="0" borderId="0" xfId="0" applyNumberFormat="1"/>
    <xf numFmtId="0" fontId="12" fillId="0" borderId="0" xfId="0" applyFont="1" applyAlignment="1">
      <alignment vertical="center" wrapText="1"/>
    </xf>
    <xf numFmtId="0" fontId="12" fillId="0" borderId="0" xfId="0" quotePrefix="1" applyFont="1"/>
    <xf numFmtId="166" fontId="0" fillId="0" borderId="0" xfId="1" applyNumberFormat="1" applyFont="1" applyFill="1"/>
    <xf numFmtId="0" fontId="0" fillId="0" borderId="3" xfId="0" applyBorder="1" applyAlignment="1">
      <alignment horizontal="center"/>
    </xf>
    <xf numFmtId="2" fontId="0" fillId="0" borderId="29" xfId="0" applyNumberFormat="1" applyBorder="1" applyAlignment="1">
      <alignment horizontal="center"/>
    </xf>
    <xf numFmtId="167" fontId="0" fillId="0" borderId="30" xfId="0" applyNumberFormat="1" applyBorder="1"/>
    <xf numFmtId="167" fontId="0" fillId="0" borderId="27" xfId="0" applyNumberFormat="1" applyBorder="1" applyAlignment="1">
      <alignment horizontal="right"/>
    </xf>
    <xf numFmtId="0" fontId="13" fillId="4" borderId="1" xfId="0" applyFont="1" applyFill="1" applyBorder="1" applyAlignment="1">
      <alignment vertical="center" wrapText="1"/>
    </xf>
    <xf numFmtId="167" fontId="1" fillId="0" borderId="31" xfId="0" applyNumberFormat="1" applyFont="1" applyBorder="1"/>
    <xf numFmtId="0" fontId="0" fillId="0" borderId="27" xfId="0" applyFill="1" applyBorder="1"/>
    <xf numFmtId="0" fontId="0" fillId="0" borderId="27" xfId="0" applyFill="1" applyBorder="1" applyAlignment="1">
      <alignment horizontal="center"/>
    </xf>
    <xf numFmtId="167" fontId="0" fillId="0" borderId="27" xfId="0" applyNumberFormat="1" applyFill="1" applyBorder="1" applyAlignment="1">
      <alignment horizontal="right"/>
    </xf>
    <xf numFmtId="167" fontId="0" fillId="0" borderId="27" xfId="0" applyNumberFormat="1" applyFill="1" applyBorder="1"/>
    <xf numFmtId="0" fontId="0" fillId="0" borderId="1" xfId="0" applyFill="1" applyBorder="1" applyAlignment="1">
      <alignment horizontal="center"/>
    </xf>
    <xf numFmtId="167" fontId="0" fillId="0" borderId="5" xfId="0" applyNumberFormat="1" applyFill="1" applyBorder="1"/>
    <xf numFmtId="2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2" fontId="0" fillId="0" borderId="4" xfId="0" applyNumberFormat="1" applyBorder="1"/>
    <xf numFmtId="0" fontId="0" fillId="0" borderId="0" xfId="0" applyFill="1" applyAlignment="1">
      <alignment horizontal="left" vertical="center"/>
    </xf>
    <xf numFmtId="0" fontId="1" fillId="0" borderId="28" xfId="0" applyFont="1" applyFill="1" applyBorder="1" applyAlignment="1">
      <alignment horizontal="center"/>
    </xf>
    <xf numFmtId="0" fontId="0" fillId="0" borderId="28" xfId="0" applyBorder="1" applyAlignment="1">
      <alignment horizontal="right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 indent="1"/>
    </xf>
    <xf numFmtId="0" fontId="8" fillId="0" borderId="0" xfId="0" applyFont="1" applyFill="1" applyAlignment="1">
      <alignment horizontal="left" vertical="center" indent="1"/>
    </xf>
    <xf numFmtId="0" fontId="8" fillId="0" borderId="0" xfId="0" applyFont="1" applyFill="1"/>
    <xf numFmtId="0" fontId="1" fillId="0" borderId="0" xfId="0" applyFont="1" applyFill="1" applyAlignment="1">
      <alignment horizontal="left" vertical="center" indent="5"/>
    </xf>
    <xf numFmtId="0" fontId="1" fillId="2" borderId="1" xfId="0" applyFont="1" applyFill="1" applyBorder="1"/>
    <xf numFmtId="0" fontId="2" fillId="5" borderId="1" xfId="0" applyFont="1" applyFill="1" applyBorder="1"/>
    <xf numFmtId="4" fontId="1" fillId="5" borderId="1" xfId="0" applyNumberFormat="1" applyFont="1" applyFill="1" applyBorder="1"/>
    <xf numFmtId="0" fontId="1" fillId="5" borderId="1" xfId="0" applyFont="1" applyFill="1" applyBorder="1"/>
    <xf numFmtId="0" fontId="9" fillId="5" borderId="1" xfId="0" applyFont="1" applyFill="1" applyBorder="1" applyAlignment="1">
      <alignment horizontal="left" indent="2"/>
    </xf>
    <xf numFmtId="4" fontId="0" fillId="5" borderId="1" xfId="0" applyNumberFormat="1" applyFill="1" applyBorder="1"/>
    <xf numFmtId="0" fontId="0" fillId="5" borderId="1" xfId="0" applyFill="1" applyBorder="1"/>
    <xf numFmtId="4" fontId="0" fillId="5" borderId="1" xfId="0" applyNumberFormat="1" applyFill="1" applyBorder="1" applyAlignment="1">
      <alignment horizontal="right"/>
    </xf>
    <xf numFmtId="0" fontId="2" fillId="6" borderId="1" xfId="0" applyFont="1" applyFill="1" applyBorder="1"/>
    <xf numFmtId="4" fontId="1" fillId="6" borderId="1" xfId="0" applyNumberFormat="1" applyFont="1" applyFill="1" applyBorder="1"/>
    <xf numFmtId="0" fontId="1" fillId="6" borderId="1" xfId="0" applyFont="1" applyFill="1" applyBorder="1"/>
    <xf numFmtId="0" fontId="9" fillId="6" borderId="1" xfId="0" applyFont="1" applyFill="1" applyBorder="1" applyAlignment="1">
      <alignment horizontal="left" indent="2"/>
    </xf>
    <xf numFmtId="4" fontId="0" fillId="6" borderId="1" xfId="0" applyNumberFormat="1" applyFill="1" applyBorder="1"/>
    <xf numFmtId="0" fontId="0" fillId="6" borderId="1" xfId="0" applyFill="1" applyBorder="1"/>
    <xf numFmtId="0" fontId="2" fillId="7" borderId="1" xfId="0" applyFont="1" applyFill="1" applyBorder="1"/>
    <xf numFmtId="4" fontId="1" fillId="7" borderId="1" xfId="0" applyNumberFormat="1" applyFont="1" applyFill="1" applyBorder="1"/>
    <xf numFmtId="0" fontId="9" fillId="7" borderId="1" xfId="0" applyFont="1" applyFill="1" applyBorder="1" applyAlignment="1">
      <alignment horizontal="left" indent="2"/>
    </xf>
    <xf numFmtId="4" fontId="0" fillId="7" borderId="1" xfId="0" applyNumberFormat="1" applyFill="1" applyBorder="1"/>
    <xf numFmtId="0" fontId="1" fillId="7" borderId="1" xfId="0" applyFont="1" applyFill="1" applyBorder="1"/>
    <xf numFmtId="0" fontId="0" fillId="7" borderId="1" xfId="0" applyFill="1" applyBorder="1"/>
    <xf numFmtId="4" fontId="0" fillId="7" borderId="1" xfId="0" applyNumberFormat="1" applyFill="1" applyBorder="1" applyAlignment="1">
      <alignment horizontal="right"/>
    </xf>
    <xf numFmtId="167" fontId="0" fillId="0" borderId="1" xfId="0" applyNumberFormat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NumberFormat="1"/>
    <xf numFmtId="0" fontId="0" fillId="0" borderId="0" xfId="0" applyNumberFormat="1" applyFill="1"/>
    <xf numFmtId="0" fontId="0" fillId="0" borderId="0" xfId="0" applyNumberFormat="1" applyFill="1" applyBorder="1"/>
    <xf numFmtId="0" fontId="1" fillId="0" borderId="28" xfId="0" applyFont="1" applyFill="1" applyBorder="1" applyAlignment="1">
      <alignment horizontal="right"/>
    </xf>
    <xf numFmtId="0" fontId="1" fillId="2" borderId="25" xfId="0" applyFont="1" applyFill="1" applyBorder="1" applyAlignment="1">
      <alignment horizontal="left"/>
    </xf>
    <xf numFmtId="0" fontId="1" fillId="2" borderId="26" xfId="0" applyFont="1" applyFill="1" applyBorder="1" applyAlignment="1">
      <alignment horizontal="left"/>
    </xf>
    <xf numFmtId="0" fontId="0" fillId="2" borderId="15" xfId="0" applyFont="1" applyFill="1" applyBorder="1" applyAlignment="1">
      <alignment horizontal="left"/>
    </xf>
    <xf numFmtId="0" fontId="0" fillId="2" borderId="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166" fontId="0" fillId="0" borderId="1" xfId="0" applyNumberFormat="1" applyBorder="1" applyAlignment="1">
      <alignment horizontal="center" vertical="center"/>
    </xf>
    <xf numFmtId="167" fontId="0" fillId="0" borderId="1" xfId="0" applyNumberFormat="1" applyBorder="1" applyAlignment="1">
      <alignment horizontal="right" vertical="center"/>
    </xf>
    <xf numFmtId="2" fontId="0" fillId="0" borderId="1" xfId="0" applyNumberForma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17" fontId="0" fillId="2" borderId="3" xfId="0" applyNumberFormat="1" applyFill="1" applyBorder="1" applyAlignment="1">
      <alignment horizontal="left"/>
    </xf>
    <xf numFmtId="17" fontId="0" fillId="2" borderId="2" xfId="0" applyNumberForma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3" xfId="0" applyFont="1" applyFill="1" applyBorder="1" applyAlignment="1">
      <alignment horizontal="right"/>
    </xf>
    <xf numFmtId="0" fontId="1" fillId="0" borderId="24" xfId="0" applyFont="1" applyFill="1" applyBorder="1" applyAlignment="1">
      <alignment horizontal="right"/>
    </xf>
    <xf numFmtId="0" fontId="0" fillId="0" borderId="3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15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6" fillId="0" borderId="3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6" fillId="0" borderId="15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167" fontId="0" fillId="0" borderId="27" xfId="0" applyNumberFormat="1" applyBorder="1" applyAlignment="1">
      <alignment horizontal="right" vertical="center"/>
    </xf>
    <xf numFmtId="167" fontId="0" fillId="0" borderId="28" xfId="0" applyNumberFormat="1" applyBorder="1" applyAlignment="1">
      <alignment horizontal="right" vertical="center"/>
    </xf>
    <xf numFmtId="167" fontId="0" fillId="0" borderId="30" xfId="0" applyNumberFormat="1" applyBorder="1" applyAlignment="1">
      <alignment horizontal="right" vertical="center"/>
    </xf>
    <xf numFmtId="167" fontId="0" fillId="0" borderId="19" xfId="0" applyNumberFormat="1" applyBorder="1" applyAlignment="1">
      <alignment horizontal="right" vertical="center"/>
    </xf>
    <xf numFmtId="0" fontId="0" fillId="0" borderId="18" xfId="0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0" fontId="0" fillId="2" borderId="2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167" fontId="0" fillId="4" borderId="27" xfId="0" applyNumberFormat="1" applyFill="1" applyBorder="1" applyAlignment="1">
      <alignment horizontal="right" vertical="center" wrapText="1"/>
    </xf>
    <xf numFmtId="167" fontId="0" fillId="4" borderId="28" xfId="0" applyNumberFormat="1" applyFill="1" applyBorder="1" applyAlignment="1">
      <alignment horizontal="righ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2C6A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zoomScaleNormal="100" workbookViewId="0">
      <selection sqref="A1:B1"/>
    </sheetView>
  </sheetViews>
  <sheetFormatPr defaultRowHeight="15" x14ac:dyDescent="0.25"/>
  <cols>
    <col min="1" max="1" width="57.7109375" customWidth="1"/>
    <col min="2" max="2" width="18.42578125" bestFit="1" customWidth="1"/>
    <col min="3" max="3" width="4.85546875" bestFit="1" customWidth="1"/>
    <col min="5" max="5" width="61.28515625" customWidth="1"/>
    <col min="6" max="6" width="18.42578125" bestFit="1" customWidth="1"/>
    <col min="8" max="8" width="50" bestFit="1" customWidth="1"/>
    <col min="9" max="9" width="18.7109375" bestFit="1" customWidth="1"/>
  </cols>
  <sheetData>
    <row r="1" spans="1:9" x14ac:dyDescent="0.25">
      <c r="A1" s="167" t="s">
        <v>148</v>
      </c>
      <c r="B1" s="168"/>
      <c r="E1" s="171" t="s">
        <v>114</v>
      </c>
      <c r="F1" s="171"/>
      <c r="H1" s="172"/>
      <c r="I1" s="172"/>
    </row>
    <row r="2" spans="1:9" x14ac:dyDescent="0.25">
      <c r="A2" s="169" t="s">
        <v>109</v>
      </c>
      <c r="B2" s="170"/>
      <c r="E2" s="171"/>
      <c r="F2" s="171"/>
      <c r="H2" s="172"/>
      <c r="I2" s="172"/>
    </row>
    <row r="3" spans="1:9" x14ac:dyDescent="0.25">
      <c r="A3" s="13" t="s">
        <v>103</v>
      </c>
      <c r="B3" s="12" t="s">
        <v>104</v>
      </c>
      <c r="E3" s="3" t="s">
        <v>103</v>
      </c>
      <c r="F3" s="74" t="s">
        <v>104</v>
      </c>
      <c r="H3" s="90"/>
      <c r="I3" s="90"/>
    </row>
    <row r="4" spans="1:9" x14ac:dyDescent="0.25">
      <c r="A4" s="14" t="str">
        <f>'Annual Rehabilitation Plan'!A2:B2</f>
        <v>Annual Rehabilitation Plan - 1 July 2021 to 30 June 2022</v>
      </c>
      <c r="B4" s="4">
        <f>'Annual Rehabilitation Plan'!F31</f>
        <v>44988460.100000001</v>
      </c>
      <c r="E4" s="3" t="s">
        <v>43</v>
      </c>
      <c r="F4" s="4">
        <v>6479480.1549999993</v>
      </c>
      <c r="H4" s="89"/>
      <c r="I4" s="91"/>
    </row>
    <row r="5" spans="1:9" x14ac:dyDescent="0.25">
      <c r="A5" s="14" t="s">
        <v>116</v>
      </c>
      <c r="B5" s="4">
        <f>'Final Rehabilitation Plan'!F112</f>
        <v>182222200.93314523</v>
      </c>
      <c r="E5" s="3" t="s">
        <v>287</v>
      </c>
      <c r="F5" s="4">
        <v>126887618.53458111</v>
      </c>
      <c r="H5" s="89"/>
      <c r="I5" s="91"/>
    </row>
    <row r="6" spans="1:9" x14ac:dyDescent="0.25">
      <c r="A6" s="27" t="s">
        <v>106</v>
      </c>
      <c r="B6" s="5" t="s">
        <v>107</v>
      </c>
      <c r="E6" s="3" t="s">
        <v>106</v>
      </c>
      <c r="F6" s="5" t="s">
        <v>107</v>
      </c>
      <c r="H6" s="89"/>
      <c r="I6" s="92"/>
    </row>
    <row r="7" spans="1:9" x14ac:dyDescent="0.25">
      <c r="A7" s="27" t="s">
        <v>110</v>
      </c>
      <c r="B7" s="4">
        <f>SUM(B4:B5)</f>
        <v>227210661.03314522</v>
      </c>
      <c r="E7" s="3" t="s">
        <v>110</v>
      </c>
      <c r="F7" s="4">
        <v>133367098.68958101</v>
      </c>
      <c r="H7" s="89"/>
      <c r="I7" s="91"/>
    </row>
    <row r="9" spans="1:9" x14ac:dyDescent="0.25">
      <c r="E9" s="171" t="s">
        <v>115</v>
      </c>
      <c r="F9" s="171"/>
    </row>
    <row r="10" spans="1:9" x14ac:dyDescent="0.25">
      <c r="A10" s="139" t="s">
        <v>251</v>
      </c>
      <c r="B10" s="139" t="s">
        <v>8</v>
      </c>
      <c r="C10" s="139" t="s">
        <v>3</v>
      </c>
      <c r="E10" s="171"/>
      <c r="F10" s="171"/>
    </row>
    <row r="11" spans="1:9" x14ac:dyDescent="0.25">
      <c r="A11" s="140" t="s">
        <v>252</v>
      </c>
      <c r="B11" s="141">
        <f>SUM(B14:B19)</f>
        <v>84229</v>
      </c>
      <c r="C11" s="142" t="s">
        <v>253</v>
      </c>
      <c r="E11" s="3" t="s">
        <v>103</v>
      </c>
      <c r="F11" s="74" t="s">
        <v>104</v>
      </c>
    </row>
    <row r="12" spans="1:9" x14ac:dyDescent="0.25">
      <c r="A12" s="143" t="s">
        <v>254</v>
      </c>
      <c r="B12" s="144">
        <v>240</v>
      </c>
      <c r="C12" s="145" t="s">
        <v>16</v>
      </c>
      <c r="E12" s="3" t="s">
        <v>117</v>
      </c>
      <c r="F12" s="4">
        <v>5332815.16</v>
      </c>
    </row>
    <row r="13" spans="1:9" x14ac:dyDescent="0.25">
      <c r="A13" s="143" t="s">
        <v>255</v>
      </c>
      <c r="B13" s="144">
        <v>1500</v>
      </c>
      <c r="C13" s="145" t="s">
        <v>16</v>
      </c>
      <c r="E13" s="3" t="s">
        <v>287</v>
      </c>
      <c r="F13" s="4">
        <v>125834881.53</v>
      </c>
    </row>
    <row r="14" spans="1:9" x14ac:dyDescent="0.25">
      <c r="A14" s="143" t="s">
        <v>256</v>
      </c>
      <c r="B14" s="146">
        <v>250</v>
      </c>
      <c r="C14" s="145" t="s">
        <v>257</v>
      </c>
      <c r="E14" s="3" t="s">
        <v>106</v>
      </c>
      <c r="F14" s="5" t="s">
        <v>107</v>
      </c>
    </row>
    <row r="15" spans="1:9" x14ac:dyDescent="0.25">
      <c r="A15" s="143" t="s">
        <v>258</v>
      </c>
      <c r="B15" s="146">
        <f>7.04*10000</f>
        <v>70400</v>
      </c>
      <c r="C15" s="145" t="s">
        <v>257</v>
      </c>
      <c r="E15" s="3" t="s">
        <v>110</v>
      </c>
      <c r="F15" s="4">
        <v>131167696.68000001</v>
      </c>
    </row>
    <row r="16" spans="1:9" x14ac:dyDescent="0.25">
      <c r="A16" s="143" t="s">
        <v>259</v>
      </c>
      <c r="B16" s="146">
        <f>'Annual Rehabilitation Plan'!D21</f>
        <v>13059</v>
      </c>
      <c r="C16" s="145" t="s">
        <v>257</v>
      </c>
    </row>
    <row r="17" spans="1:6" x14ac:dyDescent="0.25">
      <c r="A17" s="143" t="s">
        <v>288</v>
      </c>
      <c r="B17" s="146">
        <v>25</v>
      </c>
      <c r="C17" s="145" t="s">
        <v>257</v>
      </c>
      <c r="E17" s="171" t="s">
        <v>118</v>
      </c>
      <c r="F17" s="171"/>
    </row>
    <row r="18" spans="1:6" x14ac:dyDescent="0.25">
      <c r="A18" s="143" t="s">
        <v>260</v>
      </c>
      <c r="B18" s="146">
        <f>60+60+25</f>
        <v>145</v>
      </c>
      <c r="C18" s="145" t="s">
        <v>257</v>
      </c>
      <c r="E18" s="174"/>
      <c r="F18" s="170"/>
    </row>
    <row r="19" spans="1:6" x14ac:dyDescent="0.25">
      <c r="A19" s="143" t="s">
        <v>261</v>
      </c>
      <c r="B19" s="146">
        <v>350</v>
      </c>
      <c r="C19" s="145" t="s">
        <v>156</v>
      </c>
      <c r="E19" s="3" t="s">
        <v>103</v>
      </c>
      <c r="F19" s="74" t="s">
        <v>104</v>
      </c>
    </row>
    <row r="20" spans="1:6" ht="17.25" x14ac:dyDescent="0.25">
      <c r="A20" s="153" t="s">
        <v>262</v>
      </c>
      <c r="B20" s="154">
        <f>SUM(B21:B26)</f>
        <v>564637</v>
      </c>
      <c r="C20" s="157" t="s">
        <v>263</v>
      </c>
      <c r="E20" s="3" t="s">
        <v>119</v>
      </c>
      <c r="F20" s="78">
        <v>3832541.95</v>
      </c>
    </row>
    <row r="21" spans="1:6" ht="17.25" x14ac:dyDescent="0.25">
      <c r="A21" s="155" t="s">
        <v>267</v>
      </c>
      <c r="B21" s="156">
        <v>190160</v>
      </c>
      <c r="C21" s="158" t="s">
        <v>14</v>
      </c>
      <c r="E21" s="76" t="s">
        <v>116</v>
      </c>
      <c r="F21" s="78">
        <v>129441451.17</v>
      </c>
    </row>
    <row r="22" spans="1:6" ht="17.25" x14ac:dyDescent="0.25">
      <c r="A22" s="155" t="s">
        <v>268</v>
      </c>
      <c r="B22" s="156">
        <v>194203</v>
      </c>
      <c r="C22" s="158" t="s">
        <v>14</v>
      </c>
      <c r="E22" s="27" t="s">
        <v>106</v>
      </c>
      <c r="F22" s="77" t="s">
        <v>107</v>
      </c>
    </row>
    <row r="23" spans="1:6" ht="17.25" x14ac:dyDescent="0.25">
      <c r="A23" s="155" t="s">
        <v>269</v>
      </c>
      <c r="B23" s="156">
        <v>43500</v>
      </c>
      <c r="C23" s="158" t="s">
        <v>14</v>
      </c>
      <c r="E23" s="27" t="s">
        <v>110</v>
      </c>
      <c r="F23" s="78">
        <f>SUM(F20:F21)</f>
        <v>133273993.12</v>
      </c>
    </row>
    <row r="24" spans="1:6" ht="17.25" x14ac:dyDescent="0.25">
      <c r="A24" s="155" t="s">
        <v>270</v>
      </c>
      <c r="B24" s="156">
        <v>72986</v>
      </c>
      <c r="C24" s="158" t="s">
        <v>14</v>
      </c>
    </row>
    <row r="25" spans="1:6" ht="17.25" x14ac:dyDescent="0.25">
      <c r="A25" s="155" t="s">
        <v>266</v>
      </c>
      <c r="B25" s="156">
        <f>'Annual Rehabilitation Plan'!D11</f>
        <v>63438</v>
      </c>
      <c r="C25" s="158" t="s">
        <v>14</v>
      </c>
      <c r="E25" s="171" t="s">
        <v>125</v>
      </c>
      <c r="F25" s="171"/>
    </row>
    <row r="26" spans="1:6" ht="17.25" x14ac:dyDescent="0.25">
      <c r="A26" s="155" t="s">
        <v>261</v>
      </c>
      <c r="B26" s="159">
        <v>350</v>
      </c>
      <c r="C26" s="158" t="s">
        <v>14</v>
      </c>
      <c r="E26" s="173"/>
      <c r="F26" s="173"/>
    </row>
    <row r="27" spans="1:6" x14ac:dyDescent="0.25">
      <c r="A27" s="147" t="s">
        <v>264</v>
      </c>
      <c r="B27" s="148">
        <f>SUM(B28:B29)</f>
        <v>1085.94</v>
      </c>
      <c r="C27" s="149" t="s">
        <v>265</v>
      </c>
      <c r="E27" s="3" t="s">
        <v>103</v>
      </c>
      <c r="F27" s="74" t="s">
        <v>104</v>
      </c>
    </row>
    <row r="28" spans="1:6" x14ac:dyDescent="0.25">
      <c r="A28" s="150" t="s">
        <v>47</v>
      </c>
      <c r="B28" s="151">
        <v>509.66</v>
      </c>
      <c r="C28" s="152" t="s">
        <v>265</v>
      </c>
      <c r="E28" s="3" t="s">
        <v>120</v>
      </c>
      <c r="F28" s="81">
        <v>4978733.3586728405</v>
      </c>
    </row>
    <row r="29" spans="1:6" x14ac:dyDescent="0.25">
      <c r="A29" s="150" t="s">
        <v>48</v>
      </c>
      <c r="B29" s="151">
        <f>582.68-4.6-1.8</f>
        <v>576.28</v>
      </c>
      <c r="C29" s="152" t="s">
        <v>265</v>
      </c>
      <c r="E29" s="3" t="s">
        <v>116</v>
      </c>
      <c r="F29" s="81">
        <v>136228378.38956109</v>
      </c>
    </row>
    <row r="30" spans="1:6" x14ac:dyDescent="0.25">
      <c r="E30" s="3" t="s">
        <v>106</v>
      </c>
      <c r="F30" s="5" t="s">
        <v>107</v>
      </c>
    </row>
    <row r="31" spans="1:6" x14ac:dyDescent="0.25">
      <c r="E31" s="3" t="s">
        <v>110</v>
      </c>
      <c r="F31" s="81">
        <v>141207111.74823391</v>
      </c>
    </row>
    <row r="32" spans="1:6" x14ac:dyDescent="0.25">
      <c r="E32" s="87"/>
      <c r="F32" s="88"/>
    </row>
    <row r="33" spans="5:7" x14ac:dyDescent="0.25">
      <c r="E33" s="171" t="s">
        <v>149</v>
      </c>
      <c r="F33" s="171"/>
    </row>
    <row r="34" spans="5:7" x14ac:dyDescent="0.25">
      <c r="E34" s="173"/>
      <c r="F34" s="173"/>
    </row>
    <row r="35" spans="5:7" x14ac:dyDescent="0.25">
      <c r="E35" s="3" t="s">
        <v>103</v>
      </c>
      <c r="F35" s="74" t="s">
        <v>104</v>
      </c>
    </row>
    <row r="36" spans="5:7" x14ac:dyDescent="0.25">
      <c r="E36" s="3" t="s">
        <v>120</v>
      </c>
      <c r="F36" s="81">
        <v>3046559.5752015328</v>
      </c>
    </row>
    <row r="37" spans="5:7" x14ac:dyDescent="0.25">
      <c r="E37" s="3" t="s">
        <v>116</v>
      </c>
      <c r="F37" s="81">
        <v>154550503.20081806</v>
      </c>
    </row>
    <row r="38" spans="5:7" x14ac:dyDescent="0.25">
      <c r="E38" s="3" t="s">
        <v>106</v>
      </c>
      <c r="F38" s="5" t="s">
        <v>107</v>
      </c>
    </row>
    <row r="39" spans="5:7" x14ac:dyDescent="0.25">
      <c r="E39" s="3" t="s">
        <v>110</v>
      </c>
      <c r="F39" s="81">
        <v>157597062.7760196</v>
      </c>
    </row>
    <row r="40" spans="5:7" x14ac:dyDescent="0.25">
      <c r="E40" s="87"/>
      <c r="F40" s="88"/>
    </row>
    <row r="41" spans="5:7" x14ac:dyDescent="0.25">
      <c r="E41" s="87"/>
      <c r="F41" s="88"/>
    </row>
    <row r="42" spans="5:7" x14ac:dyDescent="0.25">
      <c r="E42" s="87"/>
      <c r="F42" s="88"/>
    </row>
    <row r="44" spans="5:7" x14ac:dyDescent="0.25">
      <c r="F44" s="80" t="s">
        <v>123</v>
      </c>
    </row>
    <row r="45" spans="5:7" x14ac:dyDescent="0.25">
      <c r="E45" s="79" t="s">
        <v>158</v>
      </c>
      <c r="F45" s="23">
        <f>((B5-F37)/F37)*100</f>
        <v>17.904631275364682</v>
      </c>
      <c r="G45" t="s">
        <v>289</v>
      </c>
    </row>
  </sheetData>
  <sheetProtection formatCells="0" formatColumns="0" formatRows="0" insertColumns="0" insertRows="0" insertHyperlinks="0" deleteColumns="0" deleteRows="0" sort="0" autoFilter="0" pivotTables="0"/>
  <mergeCells count="14">
    <mergeCell ref="H1:I1"/>
    <mergeCell ref="H2:I2"/>
    <mergeCell ref="E33:F33"/>
    <mergeCell ref="E34:F34"/>
    <mergeCell ref="E25:F25"/>
    <mergeCell ref="E26:F26"/>
    <mergeCell ref="E18:F18"/>
    <mergeCell ref="E17:F17"/>
    <mergeCell ref="E10:F10"/>
    <mergeCell ref="A1:B1"/>
    <mergeCell ref="A2:B2"/>
    <mergeCell ref="E1:F1"/>
    <mergeCell ref="E2:F2"/>
    <mergeCell ref="E9:F9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57"/>
  <sheetViews>
    <sheetView zoomScaleNormal="100" workbookViewId="0">
      <selection sqref="A1:B1"/>
    </sheetView>
  </sheetViews>
  <sheetFormatPr defaultRowHeight="15" x14ac:dyDescent="0.25"/>
  <cols>
    <col min="1" max="1" width="8.5703125" bestFit="1" customWidth="1"/>
    <col min="2" max="2" width="88.85546875" bestFit="1" customWidth="1"/>
    <col min="3" max="3" width="6.85546875" customWidth="1"/>
    <col min="4" max="4" width="11.140625" customWidth="1"/>
    <col min="5" max="5" width="14.140625" bestFit="1" customWidth="1"/>
    <col min="6" max="6" width="18.28515625" bestFit="1" customWidth="1"/>
    <col min="7" max="7" width="18.5703125" customWidth="1"/>
    <col min="9" max="9" width="10.5703125" style="163" bestFit="1" customWidth="1"/>
  </cols>
  <sheetData>
    <row r="1" spans="1:43" x14ac:dyDescent="0.25">
      <c r="A1" s="189" t="s">
        <v>42</v>
      </c>
      <c r="B1" s="190"/>
      <c r="C1" s="189" t="s">
        <v>5</v>
      </c>
      <c r="D1" s="190"/>
      <c r="E1" s="187">
        <v>44366</v>
      </c>
      <c r="F1" s="188"/>
      <c r="G1" s="193" t="s">
        <v>111</v>
      </c>
    </row>
    <row r="2" spans="1:43" x14ac:dyDescent="0.25">
      <c r="A2" s="174" t="s">
        <v>159</v>
      </c>
      <c r="B2" s="170"/>
      <c r="C2" s="189" t="s">
        <v>105</v>
      </c>
      <c r="D2" s="190"/>
      <c r="E2" s="191" t="s">
        <v>6</v>
      </c>
      <c r="F2" s="192"/>
      <c r="G2" s="193"/>
    </row>
    <row r="3" spans="1:43" x14ac:dyDescent="0.25">
      <c r="A3" s="127" t="s">
        <v>121</v>
      </c>
      <c r="B3" s="127" t="s">
        <v>7</v>
      </c>
      <c r="C3" s="127" t="s">
        <v>3</v>
      </c>
      <c r="D3" s="127" t="s">
        <v>8</v>
      </c>
      <c r="E3" s="127" t="s">
        <v>9</v>
      </c>
      <c r="F3" s="127" t="s">
        <v>10</v>
      </c>
      <c r="G3" s="121"/>
    </row>
    <row r="4" spans="1:43" x14ac:dyDescent="0.25">
      <c r="A4" s="127"/>
      <c r="B4" s="176" t="s">
        <v>44</v>
      </c>
      <c r="C4" s="177"/>
      <c r="D4" s="177"/>
      <c r="E4" s="177"/>
      <c r="F4" s="178"/>
      <c r="G4" s="121"/>
    </row>
    <row r="5" spans="1:43" x14ac:dyDescent="0.25">
      <c r="A5" s="166">
        <v>7.2</v>
      </c>
      <c r="B5" s="28" t="str">
        <f>'Itemised Rates - June 2021'!B15</f>
        <v>Dismantle and remove overhead powerlines to stockpile</v>
      </c>
      <c r="C5" s="121" t="s">
        <v>16</v>
      </c>
      <c r="D5" s="11">
        <v>240</v>
      </c>
      <c r="E5" s="160">
        <f>'Itemised Rates - June 2021'!D15</f>
        <v>32.83</v>
      </c>
      <c r="F5" s="15">
        <f>D5*E5</f>
        <v>7879.2</v>
      </c>
      <c r="G5" s="130" t="s">
        <v>112</v>
      </c>
    </row>
    <row r="6" spans="1:43" s="7" customFormat="1" x14ac:dyDescent="0.25">
      <c r="A6" s="77"/>
      <c r="B6" s="175" t="s">
        <v>17</v>
      </c>
      <c r="C6" s="175"/>
      <c r="D6" s="175"/>
      <c r="E6" s="175"/>
      <c r="F6" s="175"/>
      <c r="G6" s="121"/>
      <c r="I6" s="164"/>
    </row>
    <row r="7" spans="1:43" ht="17.25" x14ac:dyDescent="0.25">
      <c r="A7" s="5">
        <v>8.3000000000000007</v>
      </c>
      <c r="B7" s="28" t="s">
        <v>54</v>
      </c>
      <c r="C7" s="111" t="s">
        <v>14</v>
      </c>
      <c r="D7" s="130">
        <f>7530+3803+1990</f>
        <v>13323</v>
      </c>
      <c r="E7" s="10">
        <f>'Itemised Rates - June 2021'!D20</f>
        <v>9.42</v>
      </c>
      <c r="F7" s="15">
        <f>D7*E7</f>
        <v>125502.66</v>
      </c>
      <c r="G7" s="130" t="s">
        <v>112</v>
      </c>
      <c r="H7" s="122"/>
      <c r="I7" s="165"/>
      <c r="J7" s="123"/>
      <c r="K7" s="91"/>
      <c r="L7" s="91"/>
      <c r="M7" s="123"/>
      <c r="N7" s="91"/>
      <c r="O7" s="91"/>
      <c r="P7" s="123"/>
      <c r="Q7" s="91"/>
      <c r="R7" s="91"/>
      <c r="S7" s="123"/>
      <c r="T7" s="91"/>
      <c r="U7" s="91"/>
      <c r="V7" s="123"/>
      <c r="W7" s="91"/>
      <c r="X7" s="91"/>
      <c r="Y7" s="123"/>
      <c r="Z7" s="91"/>
      <c r="AA7" s="91"/>
      <c r="AB7" s="123"/>
      <c r="AC7" s="91"/>
      <c r="AD7" s="91"/>
      <c r="AE7" s="123"/>
      <c r="AF7" s="91"/>
      <c r="AG7" s="91"/>
      <c r="AH7" s="123"/>
      <c r="AI7" s="91"/>
      <c r="AJ7" s="91"/>
      <c r="AK7" s="123"/>
      <c r="AL7" s="91"/>
      <c r="AM7" s="91"/>
      <c r="AN7" s="123"/>
      <c r="AO7" s="91"/>
      <c r="AP7" s="91"/>
      <c r="AQ7" s="124"/>
    </row>
    <row r="8" spans="1:43" x14ac:dyDescent="0.25">
      <c r="A8" s="5"/>
      <c r="B8" s="175" t="s">
        <v>18</v>
      </c>
      <c r="C8" s="175"/>
      <c r="D8" s="175"/>
      <c r="E8" s="175"/>
      <c r="F8" s="175"/>
      <c r="G8" s="161"/>
      <c r="H8" s="91"/>
      <c r="I8" s="165"/>
      <c r="J8" s="123"/>
      <c r="K8" s="91"/>
      <c r="L8" s="91"/>
      <c r="M8" s="123"/>
      <c r="N8" s="91"/>
      <c r="O8" s="91"/>
      <c r="P8" s="123"/>
      <c r="Q8" s="91"/>
      <c r="R8" s="91"/>
      <c r="S8" s="123"/>
      <c r="T8" s="91"/>
      <c r="U8" s="91"/>
      <c r="V8" s="123"/>
      <c r="W8" s="91"/>
      <c r="X8" s="91"/>
      <c r="Y8" s="123"/>
      <c r="Z8" s="91"/>
      <c r="AA8" s="91"/>
      <c r="AB8" s="123"/>
      <c r="AC8" s="91"/>
      <c r="AD8" s="91"/>
      <c r="AE8" s="123"/>
      <c r="AF8" s="91"/>
      <c r="AG8" s="91"/>
      <c r="AH8" s="123"/>
      <c r="AI8" s="91"/>
      <c r="AJ8" s="91"/>
      <c r="AK8" s="123"/>
      <c r="AL8" s="91"/>
      <c r="AM8" s="91"/>
      <c r="AN8" s="123"/>
      <c r="AO8" s="91"/>
      <c r="AP8" s="91"/>
      <c r="AQ8" s="124"/>
    </row>
    <row r="9" spans="1:43" x14ac:dyDescent="0.25">
      <c r="A9" s="5">
        <v>9.1</v>
      </c>
      <c r="B9" s="27" t="str">
        <f>'Itemised Rates - June 2021'!B22</f>
        <v>Removal of fences, cut to stockpile</v>
      </c>
      <c r="C9" s="162" t="s">
        <v>277</v>
      </c>
      <c r="D9" s="130">
        <v>1500</v>
      </c>
      <c r="E9" s="160">
        <f>'Itemised Rates - June 2021'!D22</f>
        <v>40.32</v>
      </c>
      <c r="F9" s="31">
        <f>D9*E9</f>
        <v>60480</v>
      </c>
      <c r="G9" s="130" t="s">
        <v>112</v>
      </c>
      <c r="H9" s="91"/>
      <c r="I9" s="165"/>
      <c r="J9" s="123"/>
      <c r="K9" s="91"/>
      <c r="L9" s="91"/>
      <c r="M9" s="123"/>
      <c r="N9" s="91"/>
      <c r="O9" s="91"/>
      <c r="P9" s="123"/>
      <c r="Q9" s="91"/>
      <c r="R9" s="91"/>
      <c r="S9" s="123"/>
      <c r="T9" s="91"/>
      <c r="U9" s="91"/>
      <c r="V9" s="123"/>
      <c r="W9" s="91"/>
      <c r="X9" s="91"/>
      <c r="Y9" s="123"/>
      <c r="Z9" s="91"/>
      <c r="AA9" s="91"/>
      <c r="AB9" s="123"/>
      <c r="AC9" s="91"/>
      <c r="AD9" s="91"/>
      <c r="AE9" s="123"/>
      <c r="AF9" s="91"/>
      <c r="AG9" s="91"/>
      <c r="AH9" s="123"/>
      <c r="AI9" s="91"/>
      <c r="AJ9" s="91"/>
      <c r="AK9" s="123"/>
      <c r="AL9" s="91"/>
      <c r="AM9" s="91"/>
      <c r="AN9" s="123"/>
      <c r="AO9" s="91"/>
      <c r="AP9" s="91"/>
      <c r="AQ9" s="124"/>
    </row>
    <row r="10" spans="1:43" x14ac:dyDescent="0.25">
      <c r="A10" s="5"/>
      <c r="B10" s="175" t="s">
        <v>127</v>
      </c>
      <c r="C10" s="175"/>
      <c r="D10" s="175"/>
      <c r="E10" s="175"/>
      <c r="F10" s="175"/>
      <c r="G10" s="125"/>
      <c r="H10" s="91"/>
      <c r="I10" s="165"/>
      <c r="J10" s="123"/>
      <c r="K10" s="91"/>
      <c r="L10" s="91"/>
      <c r="M10" s="123"/>
      <c r="N10" s="91"/>
      <c r="O10" s="91"/>
      <c r="P10" s="123"/>
      <c r="Q10" s="91"/>
      <c r="R10" s="91"/>
      <c r="S10" s="123"/>
      <c r="T10" s="91"/>
      <c r="U10" s="91"/>
      <c r="V10" s="123"/>
      <c r="W10" s="91"/>
      <c r="X10" s="91"/>
      <c r="Y10" s="123"/>
      <c r="Z10" s="91"/>
      <c r="AA10" s="91"/>
      <c r="AB10" s="123"/>
      <c r="AC10" s="91"/>
      <c r="AD10" s="91"/>
      <c r="AE10" s="123"/>
      <c r="AF10" s="91"/>
      <c r="AG10" s="91"/>
      <c r="AH10" s="123"/>
      <c r="AI10" s="91"/>
      <c r="AJ10" s="91"/>
      <c r="AK10" s="123"/>
      <c r="AL10" s="91"/>
      <c r="AM10" s="91"/>
      <c r="AN10" s="123"/>
      <c r="AO10" s="91"/>
      <c r="AP10" s="91"/>
      <c r="AQ10" s="124"/>
    </row>
    <row r="11" spans="1:43" x14ac:dyDescent="0.25">
      <c r="A11" s="77">
        <v>14.1</v>
      </c>
      <c r="B11" s="129" t="s">
        <v>275</v>
      </c>
      <c r="C11" s="121" t="s">
        <v>156</v>
      </c>
      <c r="D11" s="121">
        <v>63438</v>
      </c>
      <c r="E11" s="9">
        <f>'Final Rehabilitation Plan'!E81</f>
        <v>19.899999999999999</v>
      </c>
      <c r="F11" s="78">
        <f t="shared" ref="F11:F19" si="0">D11*E11</f>
        <v>1262416.2</v>
      </c>
      <c r="G11" s="130" t="s">
        <v>113</v>
      </c>
      <c r="H11" s="91"/>
      <c r="I11" s="165"/>
      <c r="J11" s="123"/>
      <c r="K11" s="91"/>
      <c r="L11" s="91"/>
      <c r="M11" s="123"/>
      <c r="N11" s="91"/>
      <c r="O11" s="91"/>
      <c r="P11" s="123"/>
      <c r="Q11" s="91"/>
      <c r="R11" s="91"/>
      <c r="S11" s="123"/>
      <c r="T11" s="91"/>
      <c r="U11" s="91"/>
      <c r="V11" s="123"/>
      <c r="W11" s="91"/>
      <c r="X11" s="91"/>
      <c r="Y11" s="123"/>
      <c r="Z11" s="91"/>
      <c r="AA11" s="91"/>
      <c r="AB11" s="123"/>
      <c r="AC11" s="91"/>
      <c r="AD11" s="91"/>
      <c r="AE11" s="123"/>
      <c r="AF11" s="91"/>
      <c r="AG11" s="91"/>
      <c r="AH11" s="123"/>
      <c r="AI11" s="91"/>
      <c r="AJ11" s="91"/>
      <c r="AK11" s="123"/>
      <c r="AL11" s="91"/>
      <c r="AM11" s="91"/>
      <c r="AN11" s="123"/>
      <c r="AO11" s="91"/>
      <c r="AP11" s="91"/>
      <c r="AQ11" s="124"/>
    </row>
    <row r="12" spans="1:43" x14ac:dyDescent="0.25">
      <c r="A12" s="77">
        <v>14.2</v>
      </c>
      <c r="B12" s="129" t="s">
        <v>276</v>
      </c>
      <c r="C12" s="121" t="s">
        <v>249</v>
      </c>
      <c r="D12" s="121">
        <v>364244</v>
      </c>
      <c r="E12" s="9">
        <f>'Itemised Rates - June 2021'!D29</f>
        <v>26.84</v>
      </c>
      <c r="F12" s="78">
        <f t="shared" si="0"/>
        <v>9776308.959999999</v>
      </c>
      <c r="G12" s="130" t="s">
        <v>113</v>
      </c>
      <c r="H12" s="91"/>
      <c r="I12" s="165"/>
      <c r="J12" s="123"/>
      <c r="K12" s="91"/>
      <c r="L12" s="91"/>
      <c r="M12" s="123"/>
      <c r="N12" s="91"/>
      <c r="O12" s="91"/>
      <c r="P12" s="123"/>
      <c r="Q12" s="91"/>
      <c r="R12" s="91"/>
      <c r="S12" s="123"/>
      <c r="T12" s="91"/>
      <c r="U12" s="91"/>
      <c r="V12" s="123"/>
      <c r="W12" s="91"/>
      <c r="X12" s="91"/>
      <c r="Y12" s="123"/>
      <c r="Z12" s="91"/>
      <c r="AA12" s="91"/>
      <c r="AB12" s="123"/>
      <c r="AC12" s="91"/>
      <c r="AD12" s="91"/>
      <c r="AE12" s="123"/>
      <c r="AF12" s="91"/>
      <c r="AG12" s="91"/>
      <c r="AH12" s="123"/>
      <c r="AI12" s="91"/>
      <c r="AJ12" s="91"/>
      <c r="AK12" s="123"/>
      <c r="AL12" s="91"/>
      <c r="AM12" s="91"/>
      <c r="AN12" s="123"/>
      <c r="AO12" s="91"/>
      <c r="AP12" s="91"/>
      <c r="AQ12" s="124"/>
    </row>
    <row r="13" spans="1:43" x14ac:dyDescent="0.25">
      <c r="A13" s="77">
        <v>14.4</v>
      </c>
      <c r="B13" s="129" t="s">
        <v>246</v>
      </c>
      <c r="C13" s="121" t="s">
        <v>16</v>
      </c>
      <c r="D13" s="121">
        <v>1878</v>
      </c>
      <c r="E13" s="9">
        <f>'Itemised Rates - June 2021'!D31</f>
        <v>354.8</v>
      </c>
      <c r="F13" s="78">
        <f t="shared" si="0"/>
        <v>666314.4</v>
      </c>
      <c r="G13" s="130" t="s">
        <v>113</v>
      </c>
      <c r="H13" s="91"/>
      <c r="I13" s="165"/>
      <c r="J13" s="123"/>
      <c r="K13" s="91"/>
      <c r="L13" s="91"/>
      <c r="M13" s="123"/>
      <c r="N13" s="91"/>
      <c r="O13" s="91"/>
      <c r="P13" s="123"/>
      <c r="Q13" s="91"/>
      <c r="R13" s="91"/>
      <c r="S13" s="123"/>
      <c r="T13" s="91"/>
      <c r="U13" s="91"/>
      <c r="V13" s="123"/>
      <c r="W13" s="91"/>
      <c r="X13" s="91"/>
      <c r="Y13" s="123"/>
      <c r="Z13" s="91"/>
      <c r="AA13" s="91"/>
      <c r="AB13" s="123"/>
      <c r="AC13" s="91"/>
      <c r="AD13" s="91"/>
      <c r="AE13" s="123"/>
      <c r="AF13" s="91"/>
      <c r="AG13" s="91"/>
      <c r="AH13" s="123"/>
      <c r="AI13" s="91"/>
      <c r="AJ13" s="91"/>
      <c r="AK13" s="123"/>
      <c r="AL13" s="91"/>
      <c r="AM13" s="91"/>
      <c r="AN13" s="123"/>
      <c r="AO13" s="91"/>
      <c r="AP13" s="91"/>
      <c r="AQ13" s="124"/>
    </row>
    <row r="14" spans="1:43" x14ac:dyDescent="0.25">
      <c r="A14" s="77">
        <v>14.4</v>
      </c>
      <c r="B14" s="129" t="s">
        <v>286</v>
      </c>
      <c r="C14" s="121" t="s">
        <v>16</v>
      </c>
      <c r="D14" s="121">
        <v>795</v>
      </c>
      <c r="E14" s="9">
        <f>'Itemised Rates - June 2021'!D31</f>
        <v>354.8</v>
      </c>
      <c r="F14" s="78">
        <f t="shared" si="0"/>
        <v>282066</v>
      </c>
      <c r="G14" s="130" t="s">
        <v>113</v>
      </c>
      <c r="H14" s="91"/>
      <c r="I14" s="165"/>
      <c r="J14" s="123"/>
      <c r="K14" s="91"/>
      <c r="L14" s="91"/>
      <c r="M14" s="123"/>
      <c r="N14" s="91"/>
      <c r="O14" s="91"/>
      <c r="P14" s="123"/>
      <c r="Q14" s="91"/>
      <c r="R14" s="91"/>
      <c r="S14" s="123"/>
      <c r="T14" s="91"/>
      <c r="U14" s="91"/>
      <c r="V14" s="123"/>
      <c r="W14" s="91"/>
      <c r="X14" s="91"/>
      <c r="Y14" s="123"/>
      <c r="Z14" s="91"/>
      <c r="AA14" s="91"/>
      <c r="AB14" s="123"/>
      <c r="AC14" s="91"/>
      <c r="AD14" s="91"/>
      <c r="AE14" s="123"/>
      <c r="AF14" s="91"/>
      <c r="AG14" s="91"/>
      <c r="AH14" s="123"/>
      <c r="AI14" s="91"/>
      <c r="AJ14" s="91"/>
      <c r="AK14" s="123"/>
      <c r="AL14" s="91"/>
      <c r="AM14" s="91"/>
      <c r="AN14" s="123"/>
      <c r="AO14" s="91"/>
      <c r="AP14" s="91"/>
      <c r="AQ14" s="124"/>
    </row>
    <row r="15" spans="1:43" x14ac:dyDescent="0.25">
      <c r="A15" s="77">
        <v>14.4</v>
      </c>
      <c r="B15" s="129" t="s">
        <v>243</v>
      </c>
      <c r="C15" s="121" t="s">
        <v>16</v>
      </c>
      <c r="D15" s="121">
        <v>546</v>
      </c>
      <c r="E15" s="9">
        <f>'Itemised Rates - June 2021'!D31</f>
        <v>354.8</v>
      </c>
      <c r="F15" s="78">
        <f t="shared" si="0"/>
        <v>193720.80000000002</v>
      </c>
      <c r="G15" s="130" t="s">
        <v>113</v>
      </c>
      <c r="H15" s="91"/>
      <c r="I15" s="165"/>
      <c r="J15" s="123"/>
      <c r="K15" s="91"/>
      <c r="L15" s="91"/>
      <c r="M15" s="123"/>
      <c r="N15" s="91"/>
      <c r="O15" s="91"/>
      <c r="P15" s="123"/>
      <c r="Q15" s="91"/>
      <c r="R15" s="91"/>
      <c r="S15" s="123"/>
      <c r="T15" s="91"/>
      <c r="U15" s="91"/>
      <c r="V15" s="123"/>
      <c r="W15" s="91"/>
      <c r="X15" s="91"/>
      <c r="Y15" s="123"/>
      <c r="Z15" s="91"/>
      <c r="AA15" s="91"/>
      <c r="AB15" s="123"/>
      <c r="AC15" s="91"/>
      <c r="AD15" s="91"/>
      <c r="AE15" s="123"/>
      <c r="AF15" s="91"/>
      <c r="AG15" s="91"/>
      <c r="AH15" s="123"/>
      <c r="AI15" s="91"/>
      <c r="AJ15" s="91"/>
      <c r="AK15" s="123"/>
      <c r="AL15" s="91"/>
      <c r="AM15" s="91"/>
      <c r="AN15" s="123"/>
      <c r="AO15" s="91"/>
      <c r="AP15" s="91"/>
      <c r="AQ15" s="124"/>
    </row>
    <row r="16" spans="1:43" x14ac:dyDescent="0.25">
      <c r="A16" s="77">
        <v>14.4</v>
      </c>
      <c r="B16" s="129" t="s">
        <v>250</v>
      </c>
      <c r="C16" s="121" t="s">
        <v>16</v>
      </c>
      <c r="D16" s="121">
        <v>885</v>
      </c>
      <c r="E16" s="9">
        <f>'Itemised Rates - June 2021'!D31</f>
        <v>354.8</v>
      </c>
      <c r="F16" s="78">
        <f t="shared" si="0"/>
        <v>313998</v>
      </c>
      <c r="G16" s="130" t="s">
        <v>113</v>
      </c>
      <c r="H16" s="91"/>
      <c r="I16" s="165"/>
      <c r="J16" s="123"/>
      <c r="K16" s="91"/>
      <c r="L16" s="91"/>
      <c r="M16" s="123"/>
      <c r="N16" s="91"/>
      <c r="O16" s="91"/>
      <c r="P16" s="123"/>
      <c r="Q16" s="91"/>
      <c r="R16" s="91"/>
      <c r="S16" s="123"/>
      <c r="T16" s="91"/>
      <c r="U16" s="91"/>
      <c r="V16" s="123"/>
      <c r="W16" s="91"/>
      <c r="X16" s="91"/>
      <c r="Y16" s="123"/>
      <c r="Z16" s="91"/>
      <c r="AA16" s="91"/>
      <c r="AB16" s="123"/>
      <c r="AC16" s="91"/>
      <c r="AD16" s="91"/>
      <c r="AE16" s="123"/>
      <c r="AF16" s="91"/>
      <c r="AG16" s="91"/>
      <c r="AH16" s="123"/>
      <c r="AI16" s="91"/>
      <c r="AJ16" s="91"/>
      <c r="AK16" s="123"/>
      <c r="AL16" s="91"/>
      <c r="AM16" s="91"/>
      <c r="AN16" s="123"/>
      <c r="AO16" s="91"/>
      <c r="AP16" s="91"/>
      <c r="AQ16" s="124"/>
    </row>
    <row r="17" spans="1:43" x14ac:dyDescent="0.25">
      <c r="A17" s="77">
        <v>14.4</v>
      </c>
      <c r="B17" s="129" t="s">
        <v>244</v>
      </c>
      <c r="C17" s="121" t="s">
        <v>16</v>
      </c>
      <c r="D17" s="121">
        <v>2257</v>
      </c>
      <c r="E17" s="9">
        <f>'Itemised Rates - June 2021'!D31</f>
        <v>354.8</v>
      </c>
      <c r="F17" s="78">
        <f t="shared" si="0"/>
        <v>800783.6</v>
      </c>
      <c r="G17" s="130" t="s">
        <v>113</v>
      </c>
      <c r="H17" s="91"/>
      <c r="I17" s="165"/>
      <c r="J17" s="123"/>
      <c r="K17" s="91"/>
      <c r="L17" s="91"/>
      <c r="M17" s="123"/>
      <c r="N17" s="91"/>
      <c r="O17" s="91"/>
      <c r="P17" s="123"/>
      <c r="Q17" s="91"/>
      <c r="R17" s="91"/>
      <c r="S17" s="123"/>
      <c r="T17" s="91"/>
      <c r="U17" s="91"/>
      <c r="V17" s="123"/>
      <c r="W17" s="91"/>
      <c r="X17" s="91"/>
      <c r="Y17" s="123"/>
      <c r="Z17" s="91"/>
      <c r="AA17" s="91"/>
      <c r="AB17" s="123"/>
      <c r="AC17" s="91"/>
      <c r="AD17" s="91"/>
      <c r="AE17" s="123"/>
      <c r="AF17" s="91"/>
      <c r="AG17" s="91"/>
      <c r="AH17" s="123"/>
      <c r="AI17" s="91"/>
      <c r="AJ17" s="91"/>
      <c r="AK17" s="123"/>
      <c r="AL17" s="91"/>
      <c r="AM17" s="91"/>
      <c r="AN17" s="123"/>
      <c r="AO17" s="91"/>
      <c r="AP17" s="91"/>
      <c r="AQ17" s="124"/>
    </row>
    <row r="18" spans="1:43" x14ac:dyDescent="0.25">
      <c r="A18" s="128"/>
      <c r="B18" s="176" t="s">
        <v>81</v>
      </c>
      <c r="C18" s="177"/>
      <c r="D18" s="177"/>
      <c r="E18" s="177"/>
      <c r="F18" s="177"/>
      <c r="G18" s="125"/>
      <c r="H18" s="91"/>
      <c r="I18" s="165"/>
      <c r="J18" s="123"/>
      <c r="K18" s="91"/>
      <c r="L18" s="91"/>
      <c r="M18" s="123"/>
      <c r="N18" s="91"/>
      <c r="O18" s="91"/>
      <c r="P18" s="123"/>
      <c r="Q18" s="91"/>
      <c r="R18" s="91"/>
      <c r="S18" s="123"/>
      <c r="T18" s="91"/>
      <c r="U18" s="91"/>
      <c r="V18" s="123"/>
      <c r="W18" s="91"/>
      <c r="X18" s="91"/>
      <c r="Y18" s="123"/>
      <c r="Z18" s="91"/>
      <c r="AA18" s="91"/>
      <c r="AB18" s="123"/>
      <c r="AC18" s="91"/>
      <c r="AD18" s="91"/>
      <c r="AE18" s="123"/>
      <c r="AF18" s="91"/>
      <c r="AG18" s="91"/>
      <c r="AH18" s="123"/>
      <c r="AI18" s="91"/>
      <c r="AJ18" s="91"/>
      <c r="AK18" s="123"/>
      <c r="AL18" s="91"/>
      <c r="AM18" s="91"/>
      <c r="AN18" s="123"/>
      <c r="AO18" s="91"/>
      <c r="AP18" s="91"/>
      <c r="AQ18" s="124"/>
    </row>
    <row r="19" spans="1:43" x14ac:dyDescent="0.25">
      <c r="A19" s="77">
        <v>6.3</v>
      </c>
      <c r="B19" s="126" t="s">
        <v>245</v>
      </c>
      <c r="C19" s="121" t="s">
        <v>156</v>
      </c>
      <c r="D19" s="121">
        <v>116</v>
      </c>
      <c r="E19" s="9">
        <f>(59040+104400+69450+2700+15039.31+7272)/D19</f>
        <v>2223.2871551724138</v>
      </c>
      <c r="F19" s="53">
        <f t="shared" si="0"/>
        <v>257901.31</v>
      </c>
      <c r="G19" s="130" t="s">
        <v>112</v>
      </c>
    </row>
    <row r="20" spans="1:43" x14ac:dyDescent="0.25">
      <c r="A20" s="77"/>
      <c r="B20" s="176" t="s">
        <v>27</v>
      </c>
      <c r="C20" s="177"/>
      <c r="D20" s="177"/>
      <c r="E20" s="177"/>
      <c r="F20" s="177"/>
      <c r="G20" s="121"/>
    </row>
    <row r="21" spans="1:43" s="7" customFormat="1" ht="17.25" x14ac:dyDescent="0.25">
      <c r="A21" s="77" t="s">
        <v>122</v>
      </c>
      <c r="B21" s="117" t="s">
        <v>126</v>
      </c>
      <c r="C21" s="118" t="s">
        <v>14</v>
      </c>
      <c r="D21" s="118">
        <v>13059</v>
      </c>
      <c r="E21" s="119">
        <f>'Itemised Rates - June 2021'!D32</f>
        <v>4.03</v>
      </c>
      <c r="F21" s="120">
        <f>D21*E21</f>
        <v>52627.770000000004</v>
      </c>
      <c r="G21" s="121" t="s">
        <v>113</v>
      </c>
      <c r="I21" s="164"/>
    </row>
    <row r="22" spans="1:43" x14ac:dyDescent="0.25">
      <c r="A22" s="5"/>
      <c r="B22" s="194" t="s">
        <v>75</v>
      </c>
      <c r="C22" s="194"/>
      <c r="D22" s="171"/>
      <c r="E22" s="171"/>
      <c r="F22" s="171"/>
      <c r="G22" s="130"/>
    </row>
    <row r="23" spans="1:43" x14ac:dyDescent="0.25">
      <c r="A23" s="5">
        <v>19.899999999999999</v>
      </c>
      <c r="B23" s="28" t="str">
        <f>'Itemised Rates - June 2021'!B43</f>
        <v>Social &amp; Labour Plan 2021/22 Commitments</v>
      </c>
      <c r="C23" s="130" t="s">
        <v>29</v>
      </c>
      <c r="D23" s="131">
        <v>1</v>
      </c>
      <c r="E23" s="10">
        <f>'Itemised Rates - June 2021'!D43</f>
        <v>26000000</v>
      </c>
      <c r="F23" s="4">
        <f>D23*E23</f>
        <v>26000000</v>
      </c>
      <c r="G23" s="130"/>
    </row>
    <row r="24" spans="1:43" x14ac:dyDescent="0.25">
      <c r="A24" s="5"/>
      <c r="B24" s="194" t="s">
        <v>69</v>
      </c>
      <c r="C24" s="194"/>
      <c r="D24" s="171"/>
      <c r="E24" s="171"/>
      <c r="F24" s="171"/>
      <c r="G24" s="130"/>
    </row>
    <row r="25" spans="1:43" x14ac:dyDescent="0.25">
      <c r="A25" s="5">
        <v>19.100000000000001</v>
      </c>
      <c r="B25" s="28" t="str">
        <f>'Itemised Rates - June 2021'!B35</f>
        <v>Surface Water Quality Monitoring</v>
      </c>
      <c r="C25" s="130" t="s">
        <v>29</v>
      </c>
      <c r="D25" s="181">
        <v>1</v>
      </c>
      <c r="E25" s="179">
        <v>750000</v>
      </c>
      <c r="F25" s="180">
        <f>D25*E25</f>
        <v>750000</v>
      </c>
      <c r="G25" s="182"/>
    </row>
    <row r="26" spans="1:43" x14ac:dyDescent="0.25">
      <c r="A26" s="5">
        <v>19.2</v>
      </c>
      <c r="B26" s="28" t="str">
        <f>'Itemised Rates - June 2021'!B36</f>
        <v>Groundwater Quality Monitoring</v>
      </c>
      <c r="C26" s="130" t="s">
        <v>29</v>
      </c>
      <c r="D26" s="181"/>
      <c r="E26" s="179"/>
      <c r="F26" s="180"/>
      <c r="G26" s="183"/>
    </row>
    <row r="27" spans="1:43" x14ac:dyDescent="0.25">
      <c r="A27" s="5">
        <v>19.3</v>
      </c>
      <c r="B27" s="28" t="str">
        <f>'Itemised Rates - June 2021'!B37</f>
        <v>Air Quality Monitoring (PM2.5 &amp; PM10)</v>
      </c>
      <c r="C27" s="130" t="s">
        <v>29</v>
      </c>
      <c r="D27" s="132">
        <v>1</v>
      </c>
      <c r="E27" s="10">
        <f>'Itemised Rates - June 2021'!D37</f>
        <v>240000</v>
      </c>
      <c r="F27" s="4">
        <f t="shared" ref="F27:F29" si="1">D27*E27</f>
        <v>240000</v>
      </c>
      <c r="G27" s="130"/>
    </row>
    <row r="28" spans="1:43" x14ac:dyDescent="0.25">
      <c r="A28" s="5">
        <v>19.399999999999999</v>
      </c>
      <c r="B28" s="28" t="str">
        <f>'Itemised Rates - June 2021'!B38</f>
        <v>Vegetation establishment &amp; Distribution Monitoring</v>
      </c>
      <c r="C28" s="130" t="s">
        <v>29</v>
      </c>
      <c r="D28" s="132">
        <v>1</v>
      </c>
      <c r="E28" s="9">
        <f>'Itemised Rates - June 2021'!D38</f>
        <v>120000</v>
      </c>
      <c r="F28" s="4">
        <f t="shared" si="1"/>
        <v>120000</v>
      </c>
      <c r="G28" s="130"/>
    </row>
    <row r="29" spans="1:43" x14ac:dyDescent="0.25">
      <c r="A29" s="5">
        <v>19.5</v>
      </c>
      <c r="B29" s="28" t="str">
        <f>'Itemised Rates - June 2021'!B39</f>
        <v>Land Stability Monitoring</v>
      </c>
      <c r="C29" s="130" t="s">
        <v>29</v>
      </c>
      <c r="D29" s="132">
        <v>1</v>
      </c>
      <c r="E29" s="10">
        <f>299000+0.15*(299000)</f>
        <v>343850</v>
      </c>
      <c r="F29" s="4">
        <f t="shared" si="1"/>
        <v>343850</v>
      </c>
      <c r="G29" s="130"/>
    </row>
    <row r="30" spans="1:43" x14ac:dyDescent="0.25">
      <c r="A30" s="5">
        <f>'Itemised Rates - June 2021'!A41</f>
        <v>19.600000000000001</v>
      </c>
      <c r="B30" s="28" t="str">
        <f>'Itemised Rates - June 2021'!B41</f>
        <v>Dust suppression</v>
      </c>
      <c r="C30" s="130" t="s">
        <v>29</v>
      </c>
      <c r="D30" s="132">
        <v>12</v>
      </c>
      <c r="E30" s="10">
        <f>311217.6</f>
        <v>311217.59999999998</v>
      </c>
      <c r="F30" s="4">
        <f>D30*E30</f>
        <v>3734611.1999999997</v>
      </c>
      <c r="G30" s="130"/>
    </row>
    <row r="31" spans="1:43" x14ac:dyDescent="0.25">
      <c r="A31" s="3"/>
      <c r="B31" s="184" t="s">
        <v>19</v>
      </c>
      <c r="C31" s="185"/>
      <c r="D31" s="185"/>
      <c r="E31" s="186"/>
      <c r="F31" s="4">
        <f>F5+F7+F9+F11+F12+F13+F14+F15+F16+F17+F19+F21+F23+F25+F27+F28+F29+F30</f>
        <v>44988460.100000001</v>
      </c>
      <c r="G31" s="3"/>
    </row>
    <row r="33" spans="1:4" x14ac:dyDescent="0.25">
      <c r="A33" s="7"/>
      <c r="B33" s="133"/>
      <c r="C33" s="7"/>
      <c r="D33" s="7"/>
    </row>
    <row r="34" spans="1:4" x14ac:dyDescent="0.25">
      <c r="A34" s="7"/>
      <c r="B34" s="134"/>
      <c r="C34" s="7"/>
      <c r="D34" s="7"/>
    </row>
    <row r="35" spans="1:4" x14ac:dyDescent="0.25">
      <c r="A35" s="7"/>
      <c r="B35" s="135"/>
      <c r="C35" s="7"/>
      <c r="D35" s="7"/>
    </row>
    <row r="36" spans="1:4" x14ac:dyDescent="0.25">
      <c r="A36" s="7"/>
      <c r="B36" s="135"/>
      <c r="C36" s="7"/>
      <c r="D36" s="7"/>
    </row>
    <row r="37" spans="1:4" x14ac:dyDescent="0.25">
      <c r="A37" s="7"/>
      <c r="B37" s="135"/>
      <c r="C37" s="7"/>
      <c r="D37" s="7"/>
    </row>
    <row r="38" spans="1:4" x14ac:dyDescent="0.25">
      <c r="A38" s="7"/>
      <c r="B38" s="135"/>
      <c r="C38" s="7"/>
      <c r="D38" s="7"/>
    </row>
    <row r="39" spans="1:4" x14ac:dyDescent="0.25">
      <c r="A39" s="7"/>
      <c r="B39" s="135"/>
      <c r="C39" s="7"/>
      <c r="D39" s="7"/>
    </row>
    <row r="40" spans="1:4" x14ac:dyDescent="0.25">
      <c r="A40" s="7"/>
      <c r="B40" s="135"/>
      <c r="C40" s="7"/>
      <c r="D40" s="7"/>
    </row>
    <row r="41" spans="1:4" x14ac:dyDescent="0.25">
      <c r="A41" s="7"/>
      <c r="B41" s="134"/>
      <c r="C41" s="7"/>
      <c r="D41" s="7"/>
    </row>
    <row r="42" spans="1:4" x14ac:dyDescent="0.25">
      <c r="A42" s="7"/>
      <c r="B42" s="133"/>
      <c r="C42" s="7"/>
      <c r="D42" s="7"/>
    </row>
    <row r="43" spans="1:4" x14ac:dyDescent="0.25">
      <c r="A43" s="7"/>
      <c r="B43" s="134"/>
      <c r="C43" s="7"/>
      <c r="D43" s="7"/>
    </row>
    <row r="44" spans="1:4" x14ac:dyDescent="0.25">
      <c r="A44" s="7"/>
      <c r="B44" s="136"/>
      <c r="C44" s="137"/>
      <c r="D44" s="137"/>
    </row>
    <row r="45" spans="1:4" x14ac:dyDescent="0.25">
      <c r="A45" s="7"/>
      <c r="B45" s="136"/>
      <c r="C45" s="137"/>
      <c r="D45" s="137"/>
    </row>
    <row r="46" spans="1:4" x14ac:dyDescent="0.25">
      <c r="A46" s="7"/>
      <c r="B46" s="136"/>
      <c r="C46" s="137"/>
      <c r="D46" s="137"/>
    </row>
    <row r="47" spans="1:4" x14ac:dyDescent="0.25">
      <c r="A47" s="7"/>
      <c r="B47" s="138"/>
      <c r="C47" s="7"/>
      <c r="D47" s="7"/>
    </row>
    <row r="48" spans="1:4" x14ac:dyDescent="0.25">
      <c r="A48" s="7"/>
      <c r="B48" s="133"/>
      <c r="C48" s="7"/>
      <c r="D48" s="7"/>
    </row>
    <row r="49" spans="1:4" x14ac:dyDescent="0.25">
      <c r="A49" s="7"/>
      <c r="B49" s="133"/>
      <c r="C49" s="7"/>
      <c r="D49" s="7"/>
    </row>
    <row r="50" spans="1:4" x14ac:dyDescent="0.25">
      <c r="A50" s="7"/>
      <c r="B50" s="135"/>
      <c r="C50" s="7"/>
      <c r="D50" s="7"/>
    </row>
    <row r="51" spans="1:4" x14ac:dyDescent="0.25">
      <c r="A51" s="7"/>
      <c r="B51" s="134"/>
      <c r="C51" s="7"/>
      <c r="D51" s="7"/>
    </row>
    <row r="52" spans="1:4" x14ac:dyDescent="0.25">
      <c r="A52" s="7"/>
      <c r="B52" s="134"/>
      <c r="C52" s="7"/>
      <c r="D52" s="7"/>
    </row>
    <row r="53" spans="1:4" x14ac:dyDescent="0.25">
      <c r="A53" s="7"/>
      <c r="B53" s="133"/>
      <c r="C53" s="7"/>
      <c r="D53" s="7"/>
    </row>
    <row r="54" spans="1:4" x14ac:dyDescent="0.25">
      <c r="A54" s="7"/>
      <c r="B54" s="134"/>
      <c r="C54" s="7"/>
      <c r="D54" s="7"/>
    </row>
    <row r="55" spans="1:4" x14ac:dyDescent="0.25">
      <c r="A55" s="7"/>
      <c r="B55" s="135"/>
      <c r="C55" s="7"/>
      <c r="D55" s="7"/>
    </row>
    <row r="56" spans="1:4" x14ac:dyDescent="0.25">
      <c r="A56" s="7"/>
      <c r="B56" s="135"/>
      <c r="C56" s="7"/>
      <c r="D56" s="7"/>
    </row>
    <row r="57" spans="1:4" x14ac:dyDescent="0.25">
      <c r="A57" s="7"/>
      <c r="B57" s="7"/>
      <c r="C57" s="7"/>
      <c r="D57" s="7"/>
    </row>
  </sheetData>
  <sheetProtection formatCells="0" formatColumns="0" formatRows="0" insertColumns="0" insertRows="0" insertHyperlinks="0" deleteColumns="0" deleteRows="0" sort="0" autoFilter="0" pivotTables="0"/>
  <mergeCells count="22">
    <mergeCell ref="G25:G26"/>
    <mergeCell ref="B31:E31"/>
    <mergeCell ref="E1:F1"/>
    <mergeCell ref="A1:B1"/>
    <mergeCell ref="C1:D1"/>
    <mergeCell ref="A2:B2"/>
    <mergeCell ref="C2:D2"/>
    <mergeCell ref="B20:F20"/>
    <mergeCell ref="E2:F2"/>
    <mergeCell ref="B6:F6"/>
    <mergeCell ref="G1:G2"/>
    <mergeCell ref="B22:C22"/>
    <mergeCell ref="D22:F22"/>
    <mergeCell ref="B10:F10"/>
    <mergeCell ref="B24:C24"/>
    <mergeCell ref="B8:F8"/>
    <mergeCell ref="B4:F4"/>
    <mergeCell ref="D24:F24"/>
    <mergeCell ref="E25:E26"/>
    <mergeCell ref="B18:F18"/>
    <mergeCell ref="F25:F26"/>
    <mergeCell ref="D25:D26"/>
  </mergeCells>
  <pageMargins left="0.7" right="0.7" top="0.75" bottom="0.75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F112"/>
  <sheetViews>
    <sheetView zoomScale="90" zoomScaleNormal="90" workbookViewId="0">
      <selection sqref="A1:C1"/>
    </sheetView>
  </sheetViews>
  <sheetFormatPr defaultRowHeight="15" x14ac:dyDescent="0.25"/>
  <cols>
    <col min="1" max="1" width="8.140625" bestFit="1" customWidth="1"/>
    <col min="2" max="2" width="103.85546875" customWidth="1"/>
    <col min="3" max="3" width="7.42578125" bestFit="1" customWidth="1"/>
    <col min="4" max="4" width="11.5703125" style="23" bestFit="1" customWidth="1"/>
    <col min="5" max="5" width="15.5703125" bestFit="1" customWidth="1"/>
    <col min="6" max="6" width="17.85546875" customWidth="1"/>
    <col min="7" max="7" width="11.5703125" hidden="1" customWidth="1"/>
    <col min="8" max="8" width="12.5703125" hidden="1" customWidth="1"/>
    <col min="9" max="9" width="16.5703125" hidden="1" customWidth="1"/>
    <col min="10" max="10" width="11.5703125" hidden="1" customWidth="1"/>
    <col min="11" max="11" width="12.5703125" hidden="1" customWidth="1"/>
    <col min="12" max="12" width="16.5703125" hidden="1" customWidth="1"/>
    <col min="13" max="13" width="10.42578125" hidden="1" customWidth="1"/>
    <col min="14" max="14" width="12.7109375" hidden="1" customWidth="1"/>
    <col min="15" max="15" width="16.5703125" hidden="1" customWidth="1"/>
    <col min="16" max="16" width="10.42578125" hidden="1" customWidth="1"/>
    <col min="17" max="17" width="12.7109375" hidden="1" customWidth="1"/>
    <col min="18" max="18" width="16.5703125" hidden="1" customWidth="1"/>
    <col min="19" max="19" width="11.42578125" hidden="1" customWidth="1"/>
    <col min="20" max="20" width="12.7109375" hidden="1" customWidth="1"/>
    <col min="21" max="21" width="16.5703125" hidden="1" customWidth="1"/>
    <col min="22" max="22" width="11.42578125" hidden="1" customWidth="1"/>
    <col min="23" max="23" width="12.7109375" hidden="1" customWidth="1"/>
    <col min="24" max="24" width="16.5703125" hidden="1" customWidth="1"/>
    <col min="25" max="25" width="11.42578125" hidden="1" customWidth="1"/>
    <col min="26" max="26" width="12.7109375" hidden="1" customWidth="1"/>
    <col min="27" max="27" width="16.5703125" hidden="1" customWidth="1"/>
    <col min="28" max="28" width="10.42578125" hidden="1" customWidth="1"/>
    <col min="29" max="29" width="12.7109375" hidden="1" customWidth="1"/>
    <col min="30" max="30" width="16.5703125" hidden="1" customWidth="1"/>
    <col min="31" max="31" width="10.42578125" hidden="1" customWidth="1"/>
    <col min="32" max="32" width="12.7109375" hidden="1" customWidth="1"/>
    <col min="33" max="33" width="16.5703125" hidden="1" customWidth="1"/>
    <col min="34" max="34" width="10.42578125" hidden="1" customWidth="1"/>
    <col min="35" max="35" width="12.7109375" hidden="1" customWidth="1"/>
    <col min="36" max="36" width="16.5703125" hidden="1" customWidth="1"/>
    <col min="37" max="37" width="10.42578125" hidden="1" customWidth="1"/>
    <col min="38" max="38" width="12.7109375" hidden="1" customWidth="1"/>
    <col min="39" max="39" width="16.5703125" hidden="1" customWidth="1"/>
    <col min="40" max="40" width="10.42578125" hidden="1" customWidth="1"/>
    <col min="41" max="41" width="12.7109375" hidden="1" customWidth="1"/>
    <col min="42" max="42" width="13.42578125" hidden="1" customWidth="1"/>
    <col min="43" max="43" width="23.42578125" style="11" customWidth="1"/>
    <col min="45" max="45" width="16.140625" bestFit="1" customWidth="1"/>
    <col min="48" max="48" width="12" bestFit="1" customWidth="1"/>
    <col min="51" max="51" width="16.140625" bestFit="1" customWidth="1"/>
  </cols>
  <sheetData>
    <row r="1" spans="1:45" x14ac:dyDescent="0.25">
      <c r="A1" s="189" t="s">
        <v>147</v>
      </c>
      <c r="B1" s="234"/>
      <c r="C1" s="234"/>
      <c r="D1" s="231">
        <v>2021</v>
      </c>
      <c r="E1" s="232"/>
      <c r="F1" s="233"/>
      <c r="G1" s="236">
        <v>2017</v>
      </c>
      <c r="H1" s="237"/>
      <c r="I1" s="238"/>
      <c r="J1" s="236">
        <v>2018</v>
      </c>
      <c r="K1" s="237"/>
      <c r="L1" s="238"/>
      <c r="M1" s="236">
        <v>2019</v>
      </c>
      <c r="N1" s="237"/>
      <c r="O1" s="238"/>
      <c r="P1" s="236">
        <v>2020</v>
      </c>
      <c r="Q1" s="237"/>
      <c r="R1" s="238"/>
      <c r="S1" s="236">
        <v>2021</v>
      </c>
      <c r="T1" s="237"/>
      <c r="U1" s="238"/>
      <c r="V1" s="236">
        <v>2022</v>
      </c>
      <c r="W1" s="237"/>
      <c r="X1" s="238"/>
      <c r="Y1" s="236">
        <v>2023</v>
      </c>
      <c r="Z1" s="237"/>
      <c r="AA1" s="238"/>
      <c r="AB1" s="236">
        <v>2024</v>
      </c>
      <c r="AC1" s="237"/>
      <c r="AD1" s="238"/>
      <c r="AE1" s="236">
        <v>2025</v>
      </c>
      <c r="AF1" s="237"/>
      <c r="AG1" s="238"/>
      <c r="AH1" s="236">
        <v>2026</v>
      </c>
      <c r="AI1" s="237"/>
      <c r="AJ1" s="238"/>
      <c r="AK1" s="236">
        <v>2027</v>
      </c>
      <c r="AL1" s="237"/>
      <c r="AM1" s="238"/>
      <c r="AN1" s="236">
        <v>2028</v>
      </c>
      <c r="AO1" s="237"/>
      <c r="AP1" s="238"/>
      <c r="AQ1" s="242" t="s">
        <v>111</v>
      </c>
      <c r="AS1" t="s">
        <v>247</v>
      </c>
    </row>
    <row r="2" spans="1:45" x14ac:dyDescent="0.25">
      <c r="A2" s="174" t="s">
        <v>94</v>
      </c>
      <c r="B2" s="235"/>
      <c r="C2" s="235"/>
      <c r="D2" s="231"/>
      <c r="E2" s="232"/>
      <c r="F2" s="233"/>
      <c r="G2" s="239"/>
      <c r="H2" s="240"/>
      <c r="I2" s="241"/>
      <c r="J2" s="239"/>
      <c r="K2" s="240"/>
      <c r="L2" s="241"/>
      <c r="M2" s="239"/>
      <c r="N2" s="240"/>
      <c r="O2" s="241"/>
      <c r="P2" s="239"/>
      <c r="Q2" s="240"/>
      <c r="R2" s="241"/>
      <c r="S2" s="239"/>
      <c r="T2" s="240"/>
      <c r="U2" s="241"/>
      <c r="V2" s="239"/>
      <c r="W2" s="240"/>
      <c r="X2" s="241"/>
      <c r="Y2" s="239"/>
      <c r="Z2" s="240"/>
      <c r="AA2" s="241"/>
      <c r="AB2" s="239"/>
      <c r="AC2" s="240"/>
      <c r="AD2" s="241"/>
      <c r="AE2" s="239"/>
      <c r="AF2" s="240"/>
      <c r="AG2" s="241"/>
      <c r="AH2" s="239"/>
      <c r="AI2" s="240"/>
      <c r="AJ2" s="241"/>
      <c r="AK2" s="239"/>
      <c r="AL2" s="240"/>
      <c r="AM2" s="241"/>
      <c r="AN2" s="239"/>
      <c r="AO2" s="240"/>
      <c r="AP2" s="241"/>
      <c r="AQ2" s="242"/>
      <c r="AS2" t="s">
        <v>248</v>
      </c>
    </row>
    <row r="3" spans="1:45" x14ac:dyDescent="0.25">
      <c r="A3" s="2" t="s">
        <v>108</v>
      </c>
      <c r="B3" s="2" t="s">
        <v>7</v>
      </c>
      <c r="C3" s="30" t="s">
        <v>3</v>
      </c>
      <c r="D3" s="33" t="s">
        <v>8</v>
      </c>
      <c r="E3" s="2" t="s">
        <v>2</v>
      </c>
      <c r="F3" s="39" t="s">
        <v>78</v>
      </c>
      <c r="G3" s="33" t="s">
        <v>8</v>
      </c>
      <c r="H3" s="2" t="s">
        <v>79</v>
      </c>
      <c r="I3" s="39" t="s">
        <v>80</v>
      </c>
      <c r="J3" s="33" t="s">
        <v>8</v>
      </c>
      <c r="K3" s="2" t="s">
        <v>2</v>
      </c>
      <c r="L3" s="39" t="s">
        <v>80</v>
      </c>
      <c r="M3" s="33" t="s">
        <v>8</v>
      </c>
      <c r="N3" s="2" t="s">
        <v>2</v>
      </c>
      <c r="O3" s="39" t="s">
        <v>80</v>
      </c>
      <c r="P3" s="33" t="s">
        <v>8</v>
      </c>
      <c r="Q3" s="2" t="s">
        <v>79</v>
      </c>
      <c r="R3" s="39" t="s">
        <v>80</v>
      </c>
      <c r="S3" s="33" t="s">
        <v>8</v>
      </c>
      <c r="T3" s="2" t="s">
        <v>79</v>
      </c>
      <c r="U3" s="39" t="s">
        <v>78</v>
      </c>
      <c r="V3" s="33" t="s">
        <v>8</v>
      </c>
      <c r="W3" s="2" t="s">
        <v>2</v>
      </c>
      <c r="X3" s="39" t="s">
        <v>80</v>
      </c>
      <c r="Y3" s="33" t="s">
        <v>8</v>
      </c>
      <c r="Z3" s="2" t="s">
        <v>79</v>
      </c>
      <c r="AA3" s="39" t="s">
        <v>80</v>
      </c>
      <c r="AB3" s="33" t="s">
        <v>8</v>
      </c>
      <c r="AC3" s="2" t="s">
        <v>79</v>
      </c>
      <c r="AD3" s="39" t="s">
        <v>78</v>
      </c>
      <c r="AE3" s="33" t="s">
        <v>8</v>
      </c>
      <c r="AF3" s="2" t="s">
        <v>79</v>
      </c>
      <c r="AG3" s="39" t="s">
        <v>80</v>
      </c>
      <c r="AH3" s="33" t="s">
        <v>8</v>
      </c>
      <c r="AI3" s="2" t="s">
        <v>79</v>
      </c>
      <c r="AJ3" s="39" t="s">
        <v>80</v>
      </c>
      <c r="AK3" s="33" t="s">
        <v>8</v>
      </c>
      <c r="AL3" s="2" t="s">
        <v>79</v>
      </c>
      <c r="AM3" s="39" t="s">
        <v>80</v>
      </c>
      <c r="AN3" s="33" t="s">
        <v>8</v>
      </c>
      <c r="AO3" s="2" t="s">
        <v>79</v>
      </c>
      <c r="AP3" s="39" t="s">
        <v>80</v>
      </c>
      <c r="AQ3" s="72"/>
    </row>
    <row r="4" spans="1:45" x14ac:dyDescent="0.25">
      <c r="A4" s="2"/>
      <c r="B4" s="213" t="s">
        <v>46</v>
      </c>
      <c r="C4" s="214"/>
      <c r="D4" s="215"/>
      <c r="E4" s="217"/>
      <c r="F4" s="218"/>
      <c r="G4" s="228"/>
      <c r="H4" s="229"/>
      <c r="I4" s="230"/>
      <c r="J4" s="35"/>
      <c r="K4" s="36"/>
      <c r="L4" s="40"/>
      <c r="M4" s="35"/>
      <c r="N4" s="36"/>
      <c r="O4" s="40"/>
      <c r="P4" s="35"/>
      <c r="Q4" s="36"/>
      <c r="R4" s="40"/>
      <c r="S4" s="35"/>
      <c r="T4" s="36"/>
      <c r="U4" s="40"/>
      <c r="V4" s="35"/>
      <c r="W4" s="36"/>
      <c r="X4" s="40"/>
      <c r="Y4" s="35"/>
      <c r="Z4" s="36"/>
      <c r="AA4" s="40"/>
      <c r="AB4" s="35"/>
      <c r="AC4" s="36"/>
      <c r="AD4" s="40"/>
      <c r="AE4" s="35"/>
      <c r="AF4" s="36"/>
      <c r="AG4" s="40"/>
      <c r="AH4" s="35"/>
      <c r="AI4" s="36"/>
      <c r="AJ4" s="40"/>
      <c r="AK4" s="35"/>
      <c r="AL4" s="36"/>
      <c r="AM4" s="40"/>
      <c r="AN4" s="35"/>
      <c r="AO4" s="36"/>
      <c r="AP4" s="40"/>
      <c r="AQ4" s="72"/>
    </row>
    <row r="5" spans="1:45" x14ac:dyDescent="0.25">
      <c r="A5" s="5"/>
      <c r="B5" s="206" t="s">
        <v>47</v>
      </c>
      <c r="C5" s="207"/>
      <c r="D5" s="208"/>
      <c r="E5" s="209"/>
      <c r="F5" s="210"/>
      <c r="G5" s="195"/>
      <c r="H5" s="212"/>
      <c r="I5" s="223"/>
      <c r="J5" s="195"/>
      <c r="K5" s="212"/>
      <c r="L5" s="223"/>
      <c r="M5" s="195"/>
      <c r="N5" s="212"/>
      <c r="O5" s="223"/>
      <c r="P5" s="195"/>
      <c r="Q5" s="212"/>
      <c r="R5" s="223"/>
      <c r="S5" s="195"/>
      <c r="T5" s="212"/>
      <c r="U5" s="223"/>
      <c r="V5" s="195"/>
      <c r="W5" s="212"/>
      <c r="X5" s="223"/>
      <c r="Y5" s="195"/>
      <c r="Z5" s="212"/>
      <c r="AA5" s="223"/>
      <c r="AB5" s="195"/>
      <c r="AC5" s="212"/>
      <c r="AD5" s="223"/>
      <c r="AE5" s="195"/>
      <c r="AF5" s="212"/>
      <c r="AG5" s="223"/>
      <c r="AH5" s="195"/>
      <c r="AI5" s="212"/>
      <c r="AJ5" s="223"/>
      <c r="AK5" s="195"/>
      <c r="AL5" s="212"/>
      <c r="AM5" s="223"/>
      <c r="AN5" s="195"/>
      <c r="AO5" s="212"/>
      <c r="AP5" s="223"/>
      <c r="AQ5" s="72"/>
    </row>
    <row r="6" spans="1:45" ht="17.25" x14ac:dyDescent="0.25">
      <c r="A6" s="5">
        <v>1.1000000000000001</v>
      </c>
      <c r="B6" s="6" t="str">
        <f>'Itemised Rates - June 2021'!B4</f>
        <v>Dismantle steel structure high with heavy internal steel</v>
      </c>
      <c r="C6" s="54" t="s">
        <v>14</v>
      </c>
      <c r="D6" s="52">
        <v>11990.9</v>
      </c>
      <c r="E6" s="9">
        <f>'Itemised Rates - June 2021'!D4</f>
        <v>442.51</v>
      </c>
      <c r="F6" s="53">
        <f>D6*E6</f>
        <v>5306093.159</v>
      </c>
      <c r="G6" s="34">
        <f>D6</f>
        <v>11990.9</v>
      </c>
      <c r="H6" s="4" t="e">
        <f>#REF!</f>
        <v>#REF!</v>
      </c>
      <c r="I6" s="15" t="e">
        <f>G6*H6</f>
        <v>#REF!</v>
      </c>
      <c r="J6" s="34">
        <f>G6</f>
        <v>11990.9</v>
      </c>
      <c r="K6" s="4" t="e">
        <f>#REF!</f>
        <v>#REF!</v>
      </c>
      <c r="L6" s="15" t="e">
        <f>J6*K6</f>
        <v>#REF!</v>
      </c>
      <c r="M6" s="57">
        <f>J6</f>
        <v>11990.9</v>
      </c>
      <c r="N6" s="9" t="e">
        <f>#REF!</f>
        <v>#REF!</v>
      </c>
      <c r="O6" s="49" t="e">
        <f>M6*N6</f>
        <v>#REF!</v>
      </c>
      <c r="P6" s="56">
        <f>M6</f>
        <v>11990.9</v>
      </c>
      <c r="Q6" s="9" t="e">
        <f>#REF!</f>
        <v>#REF!</v>
      </c>
      <c r="R6" s="49" t="e">
        <f>P6*Q6</f>
        <v>#REF!</v>
      </c>
      <c r="S6" s="56">
        <f>P6</f>
        <v>11990.9</v>
      </c>
      <c r="T6" s="9" t="e">
        <f>#REF!</f>
        <v>#REF!</v>
      </c>
      <c r="U6" s="49" t="e">
        <f>S6*T6</f>
        <v>#REF!</v>
      </c>
      <c r="V6" s="56">
        <f>S6</f>
        <v>11990.9</v>
      </c>
      <c r="W6" s="9" t="e">
        <f>#REF!</f>
        <v>#REF!</v>
      </c>
      <c r="X6" s="49" t="e">
        <f>V6*W6</f>
        <v>#REF!</v>
      </c>
      <c r="Y6" s="56">
        <f>V6</f>
        <v>11990.9</v>
      </c>
      <c r="Z6" s="9" t="e">
        <f>#REF!</f>
        <v>#REF!</v>
      </c>
      <c r="AA6" s="49" t="e">
        <f>Y6*Z6</f>
        <v>#REF!</v>
      </c>
      <c r="AB6" s="56">
        <f>Y6</f>
        <v>11990.9</v>
      </c>
      <c r="AC6" s="9" t="e">
        <f>#REF!</f>
        <v>#REF!</v>
      </c>
      <c r="AD6" s="49" t="e">
        <f>AB6*AC6</f>
        <v>#REF!</v>
      </c>
      <c r="AE6" s="56">
        <f>AB6</f>
        <v>11990.9</v>
      </c>
      <c r="AF6" s="9" t="e">
        <f>#REF!</f>
        <v>#REF!</v>
      </c>
      <c r="AG6" s="49" t="e">
        <f>AE6*AF6</f>
        <v>#REF!</v>
      </c>
      <c r="AH6" s="56">
        <f>AE6</f>
        <v>11990.9</v>
      </c>
      <c r="AI6" s="9">
        <f>E6</f>
        <v>442.51</v>
      </c>
      <c r="AJ6" s="49">
        <f>AH6*AI6</f>
        <v>5306093.159</v>
      </c>
      <c r="AK6" s="56">
        <f>AH6</f>
        <v>11990.9</v>
      </c>
      <c r="AL6" s="9" t="e">
        <f>#REF!</f>
        <v>#REF!</v>
      </c>
      <c r="AM6" s="49" t="e">
        <f>AK6*AL6</f>
        <v>#REF!</v>
      </c>
      <c r="AN6" s="56">
        <f>AK6</f>
        <v>11990.9</v>
      </c>
      <c r="AO6" s="9" t="e">
        <f>#REF!</f>
        <v>#REF!</v>
      </c>
      <c r="AP6" s="53" t="e">
        <f>AN6*AO6</f>
        <v>#REF!</v>
      </c>
      <c r="AQ6" s="72" t="s">
        <v>112</v>
      </c>
    </row>
    <row r="7" spans="1:45" ht="17.25" x14ac:dyDescent="0.25">
      <c r="A7" s="5">
        <v>1.2</v>
      </c>
      <c r="B7" s="6" t="str">
        <f>'Itemised Rates - June 2021'!B5</f>
        <v>Dismantle low to medium height steel buildings/structures to salvage yard</v>
      </c>
      <c r="C7" s="54" t="s">
        <v>14</v>
      </c>
      <c r="D7" s="52">
        <f>23957.78+960</f>
        <v>24917.78</v>
      </c>
      <c r="E7" s="9">
        <f>'Itemised Rates - June 2021'!D5</f>
        <v>182.57</v>
      </c>
      <c r="F7" s="53">
        <f>D7*E7</f>
        <v>4549239.0945999995</v>
      </c>
      <c r="G7" s="34">
        <f>D7</f>
        <v>24917.78</v>
      </c>
      <c r="H7" s="4" t="e">
        <f>#REF!</f>
        <v>#REF!</v>
      </c>
      <c r="I7" s="15" t="e">
        <f>G7*H7</f>
        <v>#REF!</v>
      </c>
      <c r="J7" s="34">
        <v>23109.279999999999</v>
      </c>
      <c r="K7" s="4" t="e">
        <f>#REF!</f>
        <v>#REF!</v>
      </c>
      <c r="L7" s="15" t="e">
        <f>J7*K7</f>
        <v>#REF!</v>
      </c>
      <c r="M7" s="34">
        <v>23109.279999999999</v>
      </c>
      <c r="N7" s="4" t="e">
        <f>#REF!</f>
        <v>#REF!</v>
      </c>
      <c r="O7" s="15" t="e">
        <f>M7*N7</f>
        <v>#REF!</v>
      </c>
      <c r="P7" s="34">
        <v>23109.279999999999</v>
      </c>
      <c r="Q7" s="4" t="e">
        <f>#REF!</f>
        <v>#REF!</v>
      </c>
      <c r="R7" s="15" t="e">
        <f>P7*Q7</f>
        <v>#REF!</v>
      </c>
      <c r="S7" s="34">
        <v>23109.279999999999</v>
      </c>
      <c r="T7" s="4" t="e">
        <f>#REF!</f>
        <v>#REF!</v>
      </c>
      <c r="U7" s="15" t="e">
        <f>S7*T7</f>
        <v>#REF!</v>
      </c>
      <c r="V7" s="34">
        <v>23109.279999999999</v>
      </c>
      <c r="W7" s="4" t="e">
        <f>#REF!</f>
        <v>#REF!</v>
      </c>
      <c r="X7" s="15" t="e">
        <f>V7*W7</f>
        <v>#REF!</v>
      </c>
      <c r="Y7" s="34">
        <v>23109.279999999999</v>
      </c>
      <c r="Z7" s="4" t="e">
        <f>#REF!</f>
        <v>#REF!</v>
      </c>
      <c r="AA7" s="15" t="e">
        <f>Y7*Z7</f>
        <v>#REF!</v>
      </c>
      <c r="AB7" s="34">
        <v>23109.279999999999</v>
      </c>
      <c r="AC7" s="4" t="e">
        <f>#REF!</f>
        <v>#REF!</v>
      </c>
      <c r="AD7" s="15" t="e">
        <f>AB7*AC7</f>
        <v>#REF!</v>
      </c>
      <c r="AE7" s="34">
        <v>23109.279999999999</v>
      </c>
      <c r="AF7" s="4" t="e">
        <f>#REF!</f>
        <v>#REF!</v>
      </c>
      <c r="AG7" s="15" t="e">
        <f>AE7*AF7</f>
        <v>#REF!</v>
      </c>
      <c r="AH7" s="34">
        <v>23109.279999999999</v>
      </c>
      <c r="AI7" s="4">
        <f>E7</f>
        <v>182.57</v>
      </c>
      <c r="AJ7" s="15">
        <f>AH7*AI7</f>
        <v>4219061.2495999997</v>
      </c>
      <c r="AK7" s="34">
        <v>23109.279999999999</v>
      </c>
      <c r="AL7" s="4" t="e">
        <f>#REF!</f>
        <v>#REF!</v>
      </c>
      <c r="AM7" s="15" t="e">
        <f>AK7*AL7</f>
        <v>#REF!</v>
      </c>
      <c r="AN7" s="34">
        <v>23109.279999999999</v>
      </c>
      <c r="AO7" s="4" t="e">
        <f>#REF!</f>
        <v>#REF!</v>
      </c>
      <c r="AP7" s="15" t="e">
        <f>AN7*AO7</f>
        <v>#REF!</v>
      </c>
      <c r="AQ7" s="72" t="s">
        <v>112</v>
      </c>
    </row>
    <row r="8" spans="1:45" x14ac:dyDescent="0.25">
      <c r="A8" s="5"/>
      <c r="B8" s="206" t="s">
        <v>48</v>
      </c>
      <c r="C8" s="207"/>
      <c r="D8" s="208"/>
      <c r="E8" s="209"/>
      <c r="F8" s="210"/>
      <c r="G8" s="195"/>
      <c r="H8" s="212"/>
      <c r="I8" s="223"/>
      <c r="J8" s="195"/>
      <c r="K8" s="212"/>
      <c r="L8" s="223"/>
      <c r="M8" s="195"/>
      <c r="N8" s="212"/>
      <c r="O8" s="223"/>
      <c r="P8" s="195"/>
      <c r="Q8" s="212"/>
      <c r="R8" s="223"/>
      <c r="S8" s="195"/>
      <c r="T8" s="212"/>
      <c r="U8" s="223"/>
      <c r="V8" s="195"/>
      <c r="W8" s="212"/>
      <c r="X8" s="223"/>
      <c r="Y8" s="195"/>
      <c r="Z8" s="212"/>
      <c r="AA8" s="223"/>
      <c r="AB8" s="195"/>
      <c r="AC8" s="212"/>
      <c r="AD8" s="223"/>
      <c r="AE8" s="195"/>
      <c r="AF8" s="212"/>
      <c r="AG8" s="223"/>
      <c r="AH8" s="195"/>
      <c r="AI8" s="212"/>
      <c r="AJ8" s="223"/>
      <c r="AK8" s="195"/>
      <c r="AL8" s="212"/>
      <c r="AM8" s="223"/>
      <c r="AN8" s="195"/>
      <c r="AO8" s="212"/>
      <c r="AP8" s="223"/>
      <c r="AQ8" s="72"/>
    </row>
    <row r="9" spans="1:45" ht="17.25" x14ac:dyDescent="0.25">
      <c r="A9" s="5">
        <v>1.1000000000000001</v>
      </c>
      <c r="B9" s="6" t="str">
        <f>'Itemised Rates - June 2021'!B4</f>
        <v>Dismantle steel structure high with heavy internal steel</v>
      </c>
      <c r="C9" s="54" t="s">
        <v>14</v>
      </c>
      <c r="D9" s="52">
        <v>4465</v>
      </c>
      <c r="E9" s="9">
        <f>E6</f>
        <v>442.51</v>
      </c>
      <c r="F9" s="53">
        <f>D9*E9</f>
        <v>1975807.15</v>
      </c>
      <c r="G9" s="34">
        <f>D9</f>
        <v>4465</v>
      </c>
      <c r="H9" s="4" t="e">
        <f>#REF!</f>
        <v>#REF!</v>
      </c>
      <c r="I9" s="15" t="e">
        <f>G9*H9</f>
        <v>#REF!</v>
      </c>
      <c r="J9" s="34">
        <f>G9</f>
        <v>4465</v>
      </c>
      <c r="K9" s="4" t="e">
        <f>#REF!</f>
        <v>#REF!</v>
      </c>
      <c r="L9" s="15" t="e">
        <f>J9*K9</f>
        <v>#REF!</v>
      </c>
      <c r="M9" s="34">
        <f>J9</f>
        <v>4465</v>
      </c>
      <c r="N9" s="4" t="e">
        <f>#REF!</f>
        <v>#REF!</v>
      </c>
      <c r="O9" s="15" t="e">
        <f>M9*N9</f>
        <v>#REF!</v>
      </c>
      <c r="P9" s="34">
        <f>M9</f>
        <v>4465</v>
      </c>
      <c r="Q9" s="4" t="e">
        <f>#REF!</f>
        <v>#REF!</v>
      </c>
      <c r="R9" s="15" t="e">
        <f>P9*Q9</f>
        <v>#REF!</v>
      </c>
      <c r="S9" s="34">
        <f>P9</f>
        <v>4465</v>
      </c>
      <c r="T9" s="4" t="e">
        <f>#REF!</f>
        <v>#REF!</v>
      </c>
      <c r="U9" s="15" t="e">
        <f>S9*T9</f>
        <v>#REF!</v>
      </c>
      <c r="V9" s="34">
        <f>S9</f>
        <v>4465</v>
      </c>
      <c r="W9" s="4" t="e">
        <f>W6</f>
        <v>#REF!</v>
      </c>
      <c r="X9" s="15" t="e">
        <f>V9*W9</f>
        <v>#REF!</v>
      </c>
      <c r="Y9" s="34">
        <f>V9</f>
        <v>4465</v>
      </c>
      <c r="Z9" s="4" t="e">
        <f>Z6</f>
        <v>#REF!</v>
      </c>
      <c r="AA9" s="15" t="e">
        <f>Y9*Z9</f>
        <v>#REF!</v>
      </c>
      <c r="AB9" s="34">
        <f>Y9</f>
        <v>4465</v>
      </c>
      <c r="AC9" s="4" t="e">
        <f>AC6</f>
        <v>#REF!</v>
      </c>
      <c r="AD9" s="15" t="e">
        <f>AB9*AC9</f>
        <v>#REF!</v>
      </c>
      <c r="AE9" s="34">
        <f>AB9</f>
        <v>4465</v>
      </c>
      <c r="AF9" s="4" t="e">
        <f>AF6</f>
        <v>#REF!</v>
      </c>
      <c r="AG9" s="15" t="e">
        <f>AE9*AF9</f>
        <v>#REF!</v>
      </c>
      <c r="AH9" s="34">
        <f>AE9</f>
        <v>4465</v>
      </c>
      <c r="AI9" s="4">
        <f>E9</f>
        <v>442.51</v>
      </c>
      <c r="AJ9" s="15">
        <f>AH9*AI9</f>
        <v>1975807.15</v>
      </c>
      <c r="AK9" s="34">
        <f>AH9</f>
        <v>4465</v>
      </c>
      <c r="AL9" s="4" t="e">
        <f>AL6</f>
        <v>#REF!</v>
      </c>
      <c r="AM9" s="15" t="e">
        <f>AK9*AL9</f>
        <v>#REF!</v>
      </c>
      <c r="AN9" s="34">
        <f>AK9</f>
        <v>4465</v>
      </c>
      <c r="AO9" s="4" t="e">
        <f>AO6</f>
        <v>#REF!</v>
      </c>
      <c r="AP9" s="15" t="e">
        <f>AN9*AO9</f>
        <v>#REF!</v>
      </c>
      <c r="AQ9" s="72" t="s">
        <v>112</v>
      </c>
    </row>
    <row r="10" spans="1:45" ht="17.25" x14ac:dyDescent="0.25">
      <c r="A10" s="5">
        <v>1.2</v>
      </c>
      <c r="B10" s="28" t="str">
        <f>'Itemised Rates - June 2021'!B5</f>
        <v>Dismantle low to medium height steel buildings/structures to salvage yard</v>
      </c>
      <c r="C10" s="24" t="s">
        <v>14</v>
      </c>
      <c r="D10" s="52">
        <f>8930-200</f>
        <v>8730</v>
      </c>
      <c r="E10" s="10">
        <f>'Itemised Rates - June 2021'!D5</f>
        <v>182.57</v>
      </c>
      <c r="F10" s="15">
        <f>D10*E10</f>
        <v>1593836.0999999999</v>
      </c>
      <c r="G10" s="34">
        <f>D10</f>
        <v>8730</v>
      </c>
      <c r="H10" s="4" t="e">
        <f>#REF!</f>
        <v>#REF!</v>
      </c>
      <c r="I10" s="15" t="e">
        <f>G10*H10</f>
        <v>#REF!</v>
      </c>
      <c r="J10" s="34">
        <v>13395</v>
      </c>
      <c r="K10" s="4" t="e">
        <f>K7</f>
        <v>#REF!</v>
      </c>
      <c r="L10" s="15" t="e">
        <f>J10*K10</f>
        <v>#REF!</v>
      </c>
      <c r="M10" s="34">
        <v>13395</v>
      </c>
      <c r="N10" s="4" t="e">
        <f>N7</f>
        <v>#REF!</v>
      </c>
      <c r="O10" s="15" t="e">
        <f>M10*N10</f>
        <v>#REF!</v>
      </c>
      <c r="P10" s="34">
        <v>13395</v>
      </c>
      <c r="Q10" s="4" t="e">
        <f>Q7</f>
        <v>#REF!</v>
      </c>
      <c r="R10" s="15" t="e">
        <f>P10*Q10</f>
        <v>#REF!</v>
      </c>
      <c r="S10" s="34">
        <v>13395</v>
      </c>
      <c r="T10" s="4" t="e">
        <f>T7</f>
        <v>#REF!</v>
      </c>
      <c r="U10" s="15" t="e">
        <f>S10*T10</f>
        <v>#REF!</v>
      </c>
      <c r="V10" s="34">
        <v>13395</v>
      </c>
      <c r="W10" s="4" t="e">
        <f>W7</f>
        <v>#REF!</v>
      </c>
      <c r="X10" s="15" t="e">
        <f>V10*W10</f>
        <v>#REF!</v>
      </c>
      <c r="Y10" s="34">
        <v>13395</v>
      </c>
      <c r="Z10" s="4" t="e">
        <f>Z7</f>
        <v>#REF!</v>
      </c>
      <c r="AA10" s="15" t="e">
        <f>Y10*Z10</f>
        <v>#REF!</v>
      </c>
      <c r="AB10" s="34">
        <v>13395</v>
      </c>
      <c r="AC10" s="4" t="e">
        <f>AC7</f>
        <v>#REF!</v>
      </c>
      <c r="AD10" s="15" t="e">
        <f>AB10*AC10</f>
        <v>#REF!</v>
      </c>
      <c r="AE10" s="34">
        <v>13395</v>
      </c>
      <c r="AF10" s="4" t="e">
        <f>AF7</f>
        <v>#REF!</v>
      </c>
      <c r="AG10" s="15" t="e">
        <f>AE10*AF10</f>
        <v>#REF!</v>
      </c>
      <c r="AH10" s="34">
        <v>13395</v>
      </c>
      <c r="AI10" s="4">
        <f>E10</f>
        <v>182.57</v>
      </c>
      <c r="AJ10" s="15">
        <f>AH10*AI10</f>
        <v>2445525.15</v>
      </c>
      <c r="AK10" s="34">
        <v>13395</v>
      </c>
      <c r="AL10" s="4" t="e">
        <f>AL7</f>
        <v>#REF!</v>
      </c>
      <c r="AM10" s="15" t="e">
        <f>AK10*AL10</f>
        <v>#REF!</v>
      </c>
      <c r="AN10" s="34">
        <v>13395</v>
      </c>
      <c r="AO10" s="4" t="e">
        <f>AO7</f>
        <v>#REF!</v>
      </c>
      <c r="AP10" s="15" t="e">
        <f>AN10*AO10</f>
        <v>#REF!</v>
      </c>
      <c r="AQ10" s="72" t="s">
        <v>112</v>
      </c>
    </row>
    <row r="11" spans="1:45" x14ac:dyDescent="0.25">
      <c r="A11" s="2"/>
      <c r="B11" s="213" t="s">
        <v>49</v>
      </c>
      <c r="C11" s="214"/>
      <c r="D11" s="215"/>
      <c r="E11" s="217"/>
      <c r="F11" s="218"/>
      <c r="G11" s="228"/>
      <c r="H11" s="229"/>
      <c r="I11" s="230"/>
      <c r="J11" s="37"/>
      <c r="K11" s="38"/>
      <c r="L11" s="41"/>
      <c r="M11" s="37"/>
      <c r="N11" s="38"/>
      <c r="O11" s="41"/>
      <c r="P11" s="37"/>
      <c r="Q11" s="38"/>
      <c r="R11" s="41"/>
      <c r="S11" s="37"/>
      <c r="T11" s="38"/>
      <c r="U11" s="41"/>
      <c r="V11" s="37"/>
      <c r="W11" s="38"/>
      <c r="X11" s="41"/>
      <c r="Y11" s="37"/>
      <c r="Z11" s="38"/>
      <c r="AA11" s="41"/>
      <c r="AB11" s="37"/>
      <c r="AC11" s="38"/>
      <c r="AD11" s="41"/>
      <c r="AE11" s="37"/>
      <c r="AF11" s="38"/>
      <c r="AG11" s="41"/>
      <c r="AH11" s="37"/>
      <c r="AI11" s="38"/>
      <c r="AJ11" s="41"/>
      <c r="AK11" s="37"/>
      <c r="AL11" s="38"/>
      <c r="AM11" s="41"/>
      <c r="AN11" s="37"/>
      <c r="AO11" s="38"/>
      <c r="AP11" s="41"/>
      <c r="AQ11" s="72"/>
    </row>
    <row r="12" spans="1:45" x14ac:dyDescent="0.25">
      <c r="A12" s="5"/>
      <c r="B12" s="206" t="s">
        <v>47</v>
      </c>
      <c r="C12" s="207"/>
      <c r="D12" s="208"/>
      <c r="E12" s="209"/>
      <c r="F12" s="210"/>
      <c r="G12" s="195"/>
      <c r="H12" s="212"/>
      <c r="I12" s="223"/>
      <c r="J12" s="195"/>
      <c r="K12" s="212"/>
      <c r="L12" s="223"/>
      <c r="M12" s="195"/>
      <c r="N12" s="212"/>
      <c r="O12" s="223"/>
      <c r="P12" s="195"/>
      <c r="Q12" s="212"/>
      <c r="R12" s="223"/>
      <c r="S12" s="195"/>
      <c r="T12" s="212"/>
      <c r="U12" s="223"/>
      <c r="V12" s="195"/>
      <c r="W12" s="212"/>
      <c r="X12" s="223"/>
      <c r="Y12" s="195"/>
      <c r="Z12" s="212"/>
      <c r="AA12" s="223"/>
      <c r="AB12" s="195"/>
      <c r="AC12" s="212"/>
      <c r="AD12" s="223"/>
      <c r="AE12" s="195"/>
      <c r="AF12" s="212"/>
      <c r="AG12" s="223"/>
      <c r="AH12" s="195"/>
      <c r="AI12" s="212"/>
      <c r="AJ12" s="223"/>
      <c r="AK12" s="195"/>
      <c r="AL12" s="212"/>
      <c r="AM12" s="223"/>
      <c r="AN12" s="195"/>
      <c r="AO12" s="212"/>
      <c r="AP12" s="223"/>
      <c r="AQ12" s="72"/>
    </row>
    <row r="13" spans="1:45" x14ac:dyDescent="0.25">
      <c r="A13" s="5">
        <v>1.3</v>
      </c>
      <c r="B13" s="27" t="str">
        <f>'Itemised Rates - June 2021'!B6</f>
        <v>Dismantle conveyors to salvage yard</v>
      </c>
      <c r="C13" s="24" t="s">
        <v>16</v>
      </c>
      <c r="D13" s="52">
        <v>3265.69</v>
      </c>
      <c r="E13" s="10">
        <f>'Itemised Rates - June 2021'!D6</f>
        <v>441.19</v>
      </c>
      <c r="F13" s="15">
        <f>E13*D13</f>
        <v>1440789.7711</v>
      </c>
      <c r="G13" s="34">
        <f>D13</f>
        <v>3265.69</v>
      </c>
      <c r="H13" s="4" t="e">
        <f>#REF!</f>
        <v>#REF!</v>
      </c>
      <c r="I13" s="15" t="e">
        <f>G13*H13</f>
        <v>#REF!</v>
      </c>
      <c r="J13" s="34">
        <v>3265.69</v>
      </c>
      <c r="K13" s="4" t="e">
        <f>#REF!</f>
        <v>#REF!</v>
      </c>
      <c r="L13" s="15" t="e">
        <f>J13*K13</f>
        <v>#REF!</v>
      </c>
      <c r="M13" s="34">
        <v>3265.69</v>
      </c>
      <c r="N13" s="4" t="e">
        <f>#REF!</f>
        <v>#REF!</v>
      </c>
      <c r="O13" s="15" t="e">
        <f>M13*N13</f>
        <v>#REF!</v>
      </c>
      <c r="P13" s="34">
        <v>3265.69</v>
      </c>
      <c r="Q13" s="4" t="e">
        <f>#REF!</f>
        <v>#REF!</v>
      </c>
      <c r="R13" s="15" t="e">
        <f>P13*Q13</f>
        <v>#REF!</v>
      </c>
      <c r="S13" s="34">
        <v>3265.69</v>
      </c>
      <c r="T13" s="4" t="e">
        <f>#REF!</f>
        <v>#REF!</v>
      </c>
      <c r="U13" s="15" t="e">
        <f>S13*T13</f>
        <v>#REF!</v>
      </c>
      <c r="V13" s="34">
        <v>3265.69</v>
      </c>
      <c r="W13" s="4" t="e">
        <f>#REF!</f>
        <v>#REF!</v>
      </c>
      <c r="X13" s="15" t="e">
        <f>V13*W13</f>
        <v>#REF!</v>
      </c>
      <c r="Y13" s="34">
        <v>3265.69</v>
      </c>
      <c r="Z13" s="4" t="e">
        <f>#REF!</f>
        <v>#REF!</v>
      </c>
      <c r="AA13" s="15" t="e">
        <f>Y13*Z13</f>
        <v>#REF!</v>
      </c>
      <c r="AB13" s="34">
        <v>3265.69</v>
      </c>
      <c r="AC13" s="4" t="e">
        <f>#REF!</f>
        <v>#REF!</v>
      </c>
      <c r="AD13" s="15" t="e">
        <f>AB13*AC13</f>
        <v>#REF!</v>
      </c>
      <c r="AE13" s="34">
        <v>3265.69</v>
      </c>
      <c r="AF13" s="4" t="e">
        <f>#REF!</f>
        <v>#REF!</v>
      </c>
      <c r="AG13" s="15" t="e">
        <f>AE13*AF13</f>
        <v>#REF!</v>
      </c>
      <c r="AH13" s="34">
        <v>3265.69</v>
      </c>
      <c r="AI13" s="4">
        <f>E13</f>
        <v>441.19</v>
      </c>
      <c r="AJ13" s="15">
        <f>AH13*AI13</f>
        <v>1440789.7711</v>
      </c>
      <c r="AK13" s="34">
        <v>3265.69</v>
      </c>
      <c r="AL13" s="4" t="e">
        <f>#REF!</f>
        <v>#REF!</v>
      </c>
      <c r="AM13" s="15" t="e">
        <f>AK13*AL13</f>
        <v>#REF!</v>
      </c>
      <c r="AN13" s="34">
        <v>3265.69</v>
      </c>
      <c r="AO13" s="4" t="e">
        <f>#REF!</f>
        <v>#REF!</v>
      </c>
      <c r="AP13" s="15" t="e">
        <f>AN13*AO13</f>
        <v>#REF!</v>
      </c>
      <c r="AQ13" s="72" t="s">
        <v>112</v>
      </c>
    </row>
    <row r="14" spans="1:45" x14ac:dyDescent="0.25">
      <c r="A14" s="5"/>
      <c r="B14" s="206" t="s">
        <v>48</v>
      </c>
      <c r="C14" s="207"/>
      <c r="D14" s="208"/>
      <c r="E14" s="209"/>
      <c r="F14" s="210"/>
      <c r="G14" s="195"/>
      <c r="H14" s="212"/>
      <c r="I14" s="223"/>
      <c r="J14" s="195"/>
      <c r="K14" s="212"/>
      <c r="L14" s="223"/>
      <c r="M14" s="195"/>
      <c r="N14" s="212"/>
      <c r="O14" s="223"/>
      <c r="P14" s="195"/>
      <c r="Q14" s="212"/>
      <c r="R14" s="223"/>
      <c r="S14" s="195"/>
      <c r="T14" s="212"/>
      <c r="U14" s="223"/>
      <c r="V14" s="195"/>
      <c r="W14" s="212"/>
      <c r="X14" s="223"/>
      <c r="Y14" s="195"/>
      <c r="Z14" s="212"/>
      <c r="AA14" s="223"/>
      <c r="AB14" s="195"/>
      <c r="AC14" s="212"/>
      <c r="AD14" s="223"/>
      <c r="AE14" s="195"/>
      <c r="AF14" s="212"/>
      <c r="AG14" s="223"/>
      <c r="AH14" s="195"/>
      <c r="AI14" s="212"/>
      <c r="AJ14" s="223"/>
      <c r="AK14" s="195"/>
      <c r="AL14" s="212"/>
      <c r="AM14" s="223"/>
      <c r="AN14" s="195"/>
      <c r="AO14" s="212"/>
      <c r="AP14" s="223"/>
      <c r="AQ14" s="72"/>
    </row>
    <row r="15" spans="1:45" x14ac:dyDescent="0.25">
      <c r="A15" s="5">
        <v>1.3</v>
      </c>
      <c r="B15" s="28" t="str">
        <f>'Itemised Rates - June 2021'!B6</f>
        <v>Dismantle conveyors to salvage yard</v>
      </c>
      <c r="C15" s="24" t="s">
        <v>16</v>
      </c>
      <c r="D15" s="52">
        <v>2657.67</v>
      </c>
      <c r="E15" s="10">
        <f>'Itemised Rates - June 2021'!D6</f>
        <v>441.19</v>
      </c>
      <c r="F15" s="15">
        <f>D15*E15</f>
        <v>1172537.4273000001</v>
      </c>
      <c r="G15" s="34">
        <f>D15</f>
        <v>2657.67</v>
      </c>
      <c r="H15" s="4" t="e">
        <f>#REF!</f>
        <v>#REF!</v>
      </c>
      <c r="I15" s="15" t="e">
        <f>G15*H15</f>
        <v>#REF!</v>
      </c>
      <c r="J15" s="34">
        <v>2657.67</v>
      </c>
      <c r="K15" s="4" t="e">
        <f>K13</f>
        <v>#REF!</v>
      </c>
      <c r="L15" s="15" t="e">
        <f>J15*K15</f>
        <v>#REF!</v>
      </c>
      <c r="M15" s="34">
        <v>2657.67</v>
      </c>
      <c r="N15" s="4" t="e">
        <f>N13</f>
        <v>#REF!</v>
      </c>
      <c r="O15" s="15" t="e">
        <f>M15*N15</f>
        <v>#REF!</v>
      </c>
      <c r="P15" s="34">
        <v>2657.67</v>
      </c>
      <c r="Q15" s="4" t="e">
        <f>Q13</f>
        <v>#REF!</v>
      </c>
      <c r="R15" s="15" t="e">
        <f>P15*Q15</f>
        <v>#REF!</v>
      </c>
      <c r="S15" s="34">
        <v>2657.67</v>
      </c>
      <c r="T15" s="4" t="e">
        <f>T13</f>
        <v>#REF!</v>
      </c>
      <c r="U15" s="15" t="e">
        <f>S15*T15</f>
        <v>#REF!</v>
      </c>
      <c r="V15" s="34">
        <v>2657.67</v>
      </c>
      <c r="W15" s="4" t="e">
        <f>W13</f>
        <v>#REF!</v>
      </c>
      <c r="X15" s="15" t="e">
        <f>V15*W15</f>
        <v>#REF!</v>
      </c>
      <c r="Y15" s="34">
        <v>2657.67</v>
      </c>
      <c r="Z15" s="4" t="e">
        <f>Z13</f>
        <v>#REF!</v>
      </c>
      <c r="AA15" s="15" t="e">
        <f>Y15*Z15</f>
        <v>#REF!</v>
      </c>
      <c r="AB15" s="34">
        <v>2657.67</v>
      </c>
      <c r="AC15" s="4" t="e">
        <f>AC13</f>
        <v>#REF!</v>
      </c>
      <c r="AD15" s="15" t="e">
        <f>AB15*AC15</f>
        <v>#REF!</v>
      </c>
      <c r="AE15" s="34">
        <v>2657.67</v>
      </c>
      <c r="AF15" s="4" t="e">
        <f>AF13</f>
        <v>#REF!</v>
      </c>
      <c r="AG15" s="15" t="e">
        <f>AE15*AF15</f>
        <v>#REF!</v>
      </c>
      <c r="AH15" s="34">
        <v>2657.67</v>
      </c>
      <c r="AI15" s="4">
        <f>E15</f>
        <v>441.19</v>
      </c>
      <c r="AJ15" s="15">
        <f>AH15*AI15</f>
        <v>1172537.4273000001</v>
      </c>
      <c r="AK15" s="34">
        <v>2657.67</v>
      </c>
      <c r="AL15" s="4" t="e">
        <f>AL13</f>
        <v>#REF!</v>
      </c>
      <c r="AM15" s="15" t="e">
        <f>AK15*AL15</f>
        <v>#REF!</v>
      </c>
      <c r="AN15" s="34">
        <v>2657.67</v>
      </c>
      <c r="AO15" s="4" t="e">
        <f>AO13</f>
        <v>#REF!</v>
      </c>
      <c r="AP15" s="15" t="e">
        <f>AN15*AO15</f>
        <v>#REF!</v>
      </c>
      <c r="AQ15" s="72" t="s">
        <v>112</v>
      </c>
    </row>
    <row r="16" spans="1:45" x14ac:dyDescent="0.25">
      <c r="A16" s="2"/>
      <c r="B16" s="213" t="s">
        <v>13</v>
      </c>
      <c r="C16" s="214"/>
      <c r="D16" s="215"/>
      <c r="E16" s="217"/>
      <c r="F16" s="218"/>
      <c r="G16" s="228"/>
      <c r="H16" s="229"/>
      <c r="I16" s="230"/>
      <c r="J16" s="35"/>
      <c r="K16" s="36"/>
      <c r="L16" s="40"/>
      <c r="M16" s="35"/>
      <c r="N16" s="36"/>
      <c r="O16" s="40"/>
      <c r="P16" s="35"/>
      <c r="Q16" s="36"/>
      <c r="R16" s="40"/>
      <c r="S16" s="35"/>
      <c r="T16" s="36"/>
      <c r="U16" s="40"/>
      <c r="V16" s="35"/>
      <c r="W16" s="36"/>
      <c r="X16" s="40"/>
      <c r="Y16" s="35"/>
      <c r="Z16" s="36"/>
      <c r="AA16" s="40"/>
      <c r="AB16" s="35"/>
      <c r="AC16" s="36"/>
      <c r="AD16" s="40"/>
      <c r="AE16" s="35"/>
      <c r="AF16" s="36"/>
      <c r="AG16" s="40"/>
      <c r="AH16" s="35"/>
      <c r="AI16" s="36"/>
      <c r="AJ16" s="40"/>
      <c r="AK16" s="35"/>
      <c r="AL16" s="36"/>
      <c r="AM16" s="40"/>
      <c r="AN16" s="35"/>
      <c r="AO16" s="36"/>
      <c r="AP16" s="40"/>
      <c r="AQ16" s="72"/>
    </row>
    <row r="17" spans="1:43" x14ac:dyDescent="0.25">
      <c r="A17" s="5"/>
      <c r="B17" s="206" t="s">
        <v>47</v>
      </c>
      <c r="C17" s="207"/>
      <c r="D17" s="208"/>
      <c r="E17" s="209"/>
      <c r="F17" s="210"/>
      <c r="G17" s="195"/>
      <c r="H17" s="212"/>
      <c r="I17" s="223"/>
      <c r="J17" s="195"/>
      <c r="K17" s="212"/>
      <c r="L17" s="223"/>
      <c r="M17" s="195"/>
      <c r="N17" s="212"/>
      <c r="O17" s="223"/>
      <c r="P17" s="195"/>
      <c r="Q17" s="212"/>
      <c r="R17" s="223"/>
      <c r="S17" s="195"/>
      <c r="T17" s="212"/>
      <c r="U17" s="223"/>
      <c r="V17" s="195"/>
      <c r="W17" s="212"/>
      <c r="X17" s="223"/>
      <c r="Y17" s="195"/>
      <c r="Z17" s="212"/>
      <c r="AA17" s="223"/>
      <c r="AB17" s="195"/>
      <c r="AC17" s="212"/>
      <c r="AD17" s="223"/>
      <c r="AE17" s="195"/>
      <c r="AF17" s="212"/>
      <c r="AG17" s="223"/>
      <c r="AH17" s="195"/>
      <c r="AI17" s="212"/>
      <c r="AJ17" s="223"/>
      <c r="AK17" s="195"/>
      <c r="AL17" s="212"/>
      <c r="AM17" s="223"/>
      <c r="AN17" s="195"/>
      <c r="AO17" s="212"/>
      <c r="AP17" s="223"/>
      <c r="AQ17" s="72"/>
    </row>
    <row r="18" spans="1:43" ht="17.25" x14ac:dyDescent="0.25">
      <c r="A18" s="5">
        <v>4.0999999999999996</v>
      </c>
      <c r="B18" s="27" t="str">
        <f>'Itemised Rates - June 2021'!B10</f>
        <v>Demolish brick structure, load and spoil (on site)</v>
      </c>
      <c r="C18" s="24" t="s">
        <v>14</v>
      </c>
      <c r="D18" s="52">
        <v>2423.62</v>
      </c>
      <c r="E18" s="9">
        <f>'Itemised Rates - June 2021'!D10</f>
        <v>140.18</v>
      </c>
      <c r="F18" s="15">
        <f>D18*E18</f>
        <v>339743.05160000001</v>
      </c>
      <c r="G18" s="34">
        <f>D18</f>
        <v>2423.62</v>
      </c>
      <c r="H18" s="4" t="e">
        <f>#REF!</f>
        <v>#REF!</v>
      </c>
      <c r="I18" s="15" t="e">
        <f>G18*H18</f>
        <v>#REF!</v>
      </c>
      <c r="J18" s="34">
        <v>1449.62</v>
      </c>
      <c r="K18" s="4" t="e">
        <f>#REF!</f>
        <v>#REF!</v>
      </c>
      <c r="L18" s="15" t="e">
        <f>J18*K18</f>
        <v>#REF!</v>
      </c>
      <c r="M18" s="34">
        <v>1449.62</v>
      </c>
      <c r="N18" s="4" t="e">
        <f>#REF!</f>
        <v>#REF!</v>
      </c>
      <c r="O18" s="15" t="e">
        <f>M18*N18</f>
        <v>#REF!</v>
      </c>
      <c r="P18" s="34">
        <v>1449.62</v>
      </c>
      <c r="Q18" s="4" t="e">
        <f>#REF!</f>
        <v>#REF!</v>
      </c>
      <c r="R18" s="15" t="e">
        <f>P18*Q18</f>
        <v>#REF!</v>
      </c>
      <c r="S18" s="34">
        <v>1449.62</v>
      </c>
      <c r="T18" s="4" t="e">
        <f>#REF!</f>
        <v>#REF!</v>
      </c>
      <c r="U18" s="15" t="e">
        <f>S18*T18</f>
        <v>#REF!</v>
      </c>
      <c r="V18" s="34">
        <v>1449.62</v>
      </c>
      <c r="W18" s="4" t="e">
        <f>#REF!</f>
        <v>#REF!</v>
      </c>
      <c r="X18" s="15" t="e">
        <f>V18*W18</f>
        <v>#REF!</v>
      </c>
      <c r="Y18" s="34">
        <v>1449.62</v>
      </c>
      <c r="Z18" s="4" t="e">
        <f>#REF!</f>
        <v>#REF!</v>
      </c>
      <c r="AA18" s="15" t="e">
        <f>Y18*Z18</f>
        <v>#REF!</v>
      </c>
      <c r="AB18" s="34">
        <v>1449.62</v>
      </c>
      <c r="AC18" s="4" t="e">
        <f>#REF!</f>
        <v>#REF!</v>
      </c>
      <c r="AD18" s="15" t="e">
        <f>AB18*AC18</f>
        <v>#REF!</v>
      </c>
      <c r="AE18" s="34">
        <v>1449.62</v>
      </c>
      <c r="AF18" s="4" t="e">
        <f>#REF!</f>
        <v>#REF!</v>
      </c>
      <c r="AG18" s="15" t="e">
        <f>AE18*AF18</f>
        <v>#REF!</v>
      </c>
      <c r="AH18" s="34">
        <v>1449.62</v>
      </c>
      <c r="AI18" s="4">
        <f>E18</f>
        <v>140.18</v>
      </c>
      <c r="AJ18" s="15">
        <f>AH18*AI18</f>
        <v>203207.7316</v>
      </c>
      <c r="AK18" s="34">
        <v>1449.62</v>
      </c>
      <c r="AL18" s="4" t="e">
        <f>#REF!</f>
        <v>#REF!</v>
      </c>
      <c r="AM18" s="15" t="e">
        <f>AK18*AL18</f>
        <v>#REF!</v>
      </c>
      <c r="AN18" s="34">
        <v>1449.62</v>
      </c>
      <c r="AO18" s="4" t="e">
        <f>#REF!</f>
        <v>#REF!</v>
      </c>
      <c r="AP18" s="15" t="e">
        <f>AN18*AO18</f>
        <v>#REF!</v>
      </c>
      <c r="AQ18" s="72" t="s">
        <v>112</v>
      </c>
    </row>
    <row r="19" spans="1:43" x14ac:dyDescent="0.25">
      <c r="A19" s="5"/>
      <c r="B19" s="206" t="s">
        <v>48</v>
      </c>
      <c r="C19" s="207"/>
      <c r="D19" s="208"/>
      <c r="E19" s="209"/>
      <c r="F19" s="210"/>
      <c r="G19" s="195"/>
      <c r="H19" s="212"/>
      <c r="I19" s="223"/>
      <c r="J19" s="195"/>
      <c r="K19" s="212"/>
      <c r="L19" s="223"/>
      <c r="M19" s="195"/>
      <c r="N19" s="212"/>
      <c r="O19" s="223"/>
      <c r="P19" s="195"/>
      <c r="Q19" s="212"/>
      <c r="R19" s="223"/>
      <c r="S19" s="195"/>
      <c r="T19" s="212"/>
      <c r="U19" s="223"/>
      <c r="V19" s="195"/>
      <c r="W19" s="212"/>
      <c r="X19" s="223"/>
      <c r="Y19" s="195"/>
      <c r="Z19" s="212"/>
      <c r="AA19" s="223"/>
      <c r="AB19" s="195"/>
      <c r="AC19" s="212"/>
      <c r="AD19" s="223"/>
      <c r="AE19" s="195"/>
      <c r="AF19" s="212"/>
      <c r="AG19" s="223"/>
      <c r="AH19" s="195"/>
      <c r="AI19" s="212"/>
      <c r="AJ19" s="223"/>
      <c r="AK19" s="195"/>
      <c r="AL19" s="212"/>
      <c r="AM19" s="223"/>
      <c r="AN19" s="195"/>
      <c r="AO19" s="212"/>
      <c r="AP19" s="223"/>
      <c r="AQ19" s="72"/>
    </row>
    <row r="20" spans="1:43" ht="17.25" x14ac:dyDescent="0.25">
      <c r="A20" s="5">
        <v>4.0999999999999996</v>
      </c>
      <c r="B20" s="28" t="str">
        <f>'Itemised Rates - June 2021'!B10</f>
        <v>Demolish brick structure, load and spoil (on site)</v>
      </c>
      <c r="C20" s="24" t="s">
        <v>14</v>
      </c>
      <c r="D20" s="52">
        <f>39132.98-48-700-197+145</f>
        <v>38332.980000000003</v>
      </c>
      <c r="E20" s="9">
        <f>'Itemised Rates - June 2021'!D10</f>
        <v>140.18</v>
      </c>
      <c r="F20" s="15">
        <f>D20*E20</f>
        <v>5373517.1364000011</v>
      </c>
      <c r="G20" s="34">
        <f>D20</f>
        <v>38332.980000000003</v>
      </c>
      <c r="H20" s="4" t="e">
        <f>H18</f>
        <v>#REF!</v>
      </c>
      <c r="I20" s="15" t="e">
        <f>G20*H20</f>
        <v>#REF!</v>
      </c>
      <c r="J20" s="34">
        <v>39132.980000000003</v>
      </c>
      <c r="K20" s="4" t="e">
        <f>K18</f>
        <v>#REF!</v>
      </c>
      <c r="L20" s="15" t="e">
        <f>J20*K20</f>
        <v>#REF!</v>
      </c>
      <c r="M20" s="34">
        <v>39132.980000000003</v>
      </c>
      <c r="N20" s="4" t="e">
        <f>N18</f>
        <v>#REF!</v>
      </c>
      <c r="O20" s="15" t="e">
        <f>M20*N20</f>
        <v>#REF!</v>
      </c>
      <c r="P20" s="34">
        <v>39132.980000000003</v>
      </c>
      <c r="Q20" s="4" t="e">
        <f>Q18</f>
        <v>#REF!</v>
      </c>
      <c r="R20" s="15" t="e">
        <f>P20*Q20</f>
        <v>#REF!</v>
      </c>
      <c r="S20" s="34">
        <v>39132.980000000003</v>
      </c>
      <c r="T20" s="4" t="e">
        <f>T18</f>
        <v>#REF!</v>
      </c>
      <c r="U20" s="15" t="e">
        <f>S20*T20</f>
        <v>#REF!</v>
      </c>
      <c r="V20" s="34">
        <v>39132.980000000003</v>
      </c>
      <c r="W20" s="4" t="e">
        <f>W18</f>
        <v>#REF!</v>
      </c>
      <c r="X20" s="15" t="e">
        <f>V20*W20</f>
        <v>#REF!</v>
      </c>
      <c r="Y20" s="34">
        <v>39132.980000000003</v>
      </c>
      <c r="Z20" s="4" t="e">
        <f>Z18</f>
        <v>#REF!</v>
      </c>
      <c r="AA20" s="15" t="e">
        <f>Y20*Z20</f>
        <v>#REF!</v>
      </c>
      <c r="AB20" s="34">
        <v>39132.980000000003</v>
      </c>
      <c r="AC20" s="4" t="e">
        <f>AC18</f>
        <v>#REF!</v>
      </c>
      <c r="AD20" s="15" t="e">
        <f>AB20*AC20</f>
        <v>#REF!</v>
      </c>
      <c r="AE20" s="34">
        <v>39132.980000000003</v>
      </c>
      <c r="AF20" s="4" t="e">
        <f>AF18</f>
        <v>#REF!</v>
      </c>
      <c r="AG20" s="15" t="e">
        <f>AE20*AF20</f>
        <v>#REF!</v>
      </c>
      <c r="AH20" s="34">
        <v>39132.980000000003</v>
      </c>
      <c r="AI20" s="4">
        <f>E20</f>
        <v>140.18</v>
      </c>
      <c r="AJ20" s="15">
        <f>AH20*AI20</f>
        <v>5485661.1364000011</v>
      </c>
      <c r="AK20" s="34">
        <v>39132.980000000003</v>
      </c>
      <c r="AL20" s="4" t="e">
        <f>AL18</f>
        <v>#REF!</v>
      </c>
      <c r="AM20" s="15" t="e">
        <f>AK20*AL20</f>
        <v>#REF!</v>
      </c>
      <c r="AN20" s="34">
        <v>39132.980000000003</v>
      </c>
      <c r="AO20" s="4" t="e">
        <f>AO18</f>
        <v>#REF!</v>
      </c>
      <c r="AP20" s="15" t="e">
        <f>AN20*AO20</f>
        <v>#REF!</v>
      </c>
      <c r="AQ20" s="72" t="s">
        <v>112</v>
      </c>
    </row>
    <row r="21" spans="1:43" x14ac:dyDescent="0.25">
      <c r="A21" s="2"/>
      <c r="B21" s="213" t="s">
        <v>17</v>
      </c>
      <c r="C21" s="214"/>
      <c r="D21" s="215"/>
      <c r="E21" s="217"/>
      <c r="F21" s="218"/>
      <c r="G21" s="228"/>
      <c r="H21" s="229"/>
      <c r="I21" s="230"/>
      <c r="J21" s="35"/>
      <c r="K21" s="36"/>
      <c r="L21" s="40"/>
      <c r="M21" s="35"/>
      <c r="N21" s="36"/>
      <c r="O21" s="40"/>
      <c r="P21" s="35"/>
      <c r="Q21" s="36"/>
      <c r="R21" s="40"/>
      <c r="S21" s="35"/>
      <c r="T21" s="36"/>
      <c r="U21" s="40"/>
      <c r="V21" s="35"/>
      <c r="W21" s="36"/>
      <c r="X21" s="40"/>
      <c r="Y21" s="35"/>
      <c r="Z21" s="36"/>
      <c r="AA21" s="40"/>
      <c r="AB21" s="35"/>
      <c r="AC21" s="36"/>
      <c r="AD21" s="40"/>
      <c r="AE21" s="35"/>
      <c r="AF21" s="36"/>
      <c r="AG21" s="40"/>
      <c r="AH21" s="35"/>
      <c r="AI21" s="36"/>
      <c r="AJ21" s="40"/>
      <c r="AK21" s="35"/>
      <c r="AL21" s="36"/>
      <c r="AM21" s="40"/>
      <c r="AN21" s="35"/>
      <c r="AO21" s="36"/>
      <c r="AP21" s="40"/>
      <c r="AQ21" s="72"/>
    </row>
    <row r="22" spans="1:43" x14ac:dyDescent="0.25">
      <c r="A22" s="5"/>
      <c r="B22" s="206" t="s">
        <v>47</v>
      </c>
      <c r="C22" s="207"/>
      <c r="D22" s="208"/>
      <c r="E22" s="209"/>
      <c r="F22" s="210"/>
      <c r="G22" s="195"/>
      <c r="H22" s="212"/>
      <c r="I22" s="223"/>
      <c r="J22" s="195"/>
      <c r="K22" s="212"/>
      <c r="L22" s="223"/>
      <c r="M22" s="195"/>
      <c r="N22" s="212"/>
      <c r="O22" s="223"/>
      <c r="P22" s="195"/>
      <c r="Q22" s="212"/>
      <c r="R22" s="223"/>
      <c r="S22" s="195"/>
      <c r="T22" s="212"/>
      <c r="U22" s="223"/>
      <c r="V22" s="195"/>
      <c r="W22" s="212"/>
      <c r="X22" s="223"/>
      <c r="Y22" s="195"/>
      <c r="Z22" s="212"/>
      <c r="AA22" s="223"/>
      <c r="AB22" s="195"/>
      <c r="AC22" s="212"/>
      <c r="AD22" s="223"/>
      <c r="AE22" s="195"/>
      <c r="AF22" s="212"/>
      <c r="AG22" s="223"/>
      <c r="AH22" s="195"/>
      <c r="AI22" s="212"/>
      <c r="AJ22" s="223"/>
      <c r="AK22" s="195"/>
      <c r="AL22" s="212"/>
      <c r="AM22" s="223"/>
      <c r="AN22" s="195"/>
      <c r="AO22" s="212"/>
      <c r="AP22" s="223"/>
      <c r="AQ22" s="72"/>
    </row>
    <row r="23" spans="1:43" ht="17.25" x14ac:dyDescent="0.25">
      <c r="A23" s="5">
        <v>8.1</v>
      </c>
      <c r="B23" s="28" t="str">
        <f>'Itemised Rates - June 2021'!B18</f>
        <v>Demolish unsurfaced gravel roads, rip and shape</v>
      </c>
      <c r="C23" s="24" t="s">
        <v>14</v>
      </c>
      <c r="D23" s="52">
        <v>3625.97</v>
      </c>
      <c r="E23" s="10">
        <f>'Itemised Rates - June 2021'!D18</f>
        <v>1.98</v>
      </c>
      <c r="F23" s="15">
        <f>D23*E23</f>
        <v>7179.4205999999995</v>
      </c>
      <c r="G23" s="34">
        <f>D23</f>
        <v>3625.97</v>
      </c>
      <c r="H23" s="4" t="e">
        <f>#REF!</f>
        <v>#REF!</v>
      </c>
      <c r="I23" s="15" t="e">
        <f>G23*H23</f>
        <v>#REF!</v>
      </c>
      <c r="J23" s="34">
        <v>3625.97</v>
      </c>
      <c r="K23" s="4" t="e">
        <f>#REF!</f>
        <v>#REF!</v>
      </c>
      <c r="L23" s="15" t="e">
        <f>J23*K23</f>
        <v>#REF!</v>
      </c>
      <c r="M23" s="34">
        <v>3625.97</v>
      </c>
      <c r="N23" s="4" t="e">
        <f>#REF!</f>
        <v>#REF!</v>
      </c>
      <c r="O23" s="15" t="e">
        <f>M23*N23</f>
        <v>#REF!</v>
      </c>
      <c r="P23" s="34">
        <v>3625.97</v>
      </c>
      <c r="Q23" s="4" t="e">
        <f>#REF!</f>
        <v>#REF!</v>
      </c>
      <c r="R23" s="15" t="e">
        <f>P23*Q23</f>
        <v>#REF!</v>
      </c>
      <c r="S23" s="34">
        <v>3625.97</v>
      </c>
      <c r="T23" s="4" t="e">
        <f>#REF!</f>
        <v>#REF!</v>
      </c>
      <c r="U23" s="15" t="e">
        <f>S23*T23</f>
        <v>#REF!</v>
      </c>
      <c r="V23" s="34">
        <v>3625.97</v>
      </c>
      <c r="W23" s="4" t="e">
        <f>#REF!</f>
        <v>#REF!</v>
      </c>
      <c r="X23" s="15" t="e">
        <f>V23*W23</f>
        <v>#REF!</v>
      </c>
      <c r="Y23" s="34">
        <v>3625.97</v>
      </c>
      <c r="Z23" s="4" t="e">
        <f>#REF!</f>
        <v>#REF!</v>
      </c>
      <c r="AA23" s="15" t="e">
        <f>Y23*Z23</f>
        <v>#REF!</v>
      </c>
      <c r="AB23" s="34">
        <v>3625.97</v>
      </c>
      <c r="AC23" s="4" t="e">
        <f>#REF!</f>
        <v>#REF!</v>
      </c>
      <c r="AD23" s="15" t="e">
        <f>AB23*AC23</f>
        <v>#REF!</v>
      </c>
      <c r="AE23" s="34">
        <v>3625.97</v>
      </c>
      <c r="AF23" s="4" t="e">
        <f>#REF!</f>
        <v>#REF!</v>
      </c>
      <c r="AG23" s="15" t="e">
        <f>AE23*AF23</f>
        <v>#REF!</v>
      </c>
      <c r="AH23" s="34">
        <v>3625.97</v>
      </c>
      <c r="AI23" s="4">
        <f>E23</f>
        <v>1.98</v>
      </c>
      <c r="AJ23" s="15">
        <f>AH23*AI23</f>
        <v>7179.4205999999995</v>
      </c>
      <c r="AK23" s="34">
        <v>3625.97</v>
      </c>
      <c r="AL23" s="4" t="e">
        <f>#REF!</f>
        <v>#REF!</v>
      </c>
      <c r="AM23" s="15" t="e">
        <f>AK23*AL23</f>
        <v>#REF!</v>
      </c>
      <c r="AN23" s="34">
        <v>3625.97</v>
      </c>
      <c r="AO23" s="4" t="e">
        <f>#REF!</f>
        <v>#REF!</v>
      </c>
      <c r="AP23" s="15" t="e">
        <f>AN23*AO23</f>
        <v>#REF!</v>
      </c>
      <c r="AQ23" s="72" t="s">
        <v>112</v>
      </c>
    </row>
    <row r="24" spans="1:43" ht="17.25" x14ac:dyDescent="0.25">
      <c r="A24" s="5">
        <v>8.1999999999999993</v>
      </c>
      <c r="B24" s="28" t="str">
        <f>'Itemised Rates - June 2021'!B19</f>
        <v>Demolish unsurfaced haul roads, rip and shape</v>
      </c>
      <c r="C24" s="24" t="s">
        <v>14</v>
      </c>
      <c r="D24" s="52">
        <v>558248.72</v>
      </c>
      <c r="E24" s="10">
        <f>'Itemised Rates - June 2021'!D19</f>
        <v>3.96</v>
      </c>
      <c r="F24" s="15">
        <f>D24*E24</f>
        <v>2210664.9312</v>
      </c>
      <c r="G24" s="34">
        <f>D24</f>
        <v>558248.72</v>
      </c>
      <c r="H24" s="4" t="e">
        <f>#REF!</f>
        <v>#REF!</v>
      </c>
      <c r="I24" s="15" t="e">
        <f t="shared" ref="I24:I29" si="0">G24*H24</f>
        <v>#REF!</v>
      </c>
      <c r="J24" s="34">
        <v>558248.72</v>
      </c>
      <c r="K24" s="4" t="e">
        <f>#REF!</f>
        <v>#REF!</v>
      </c>
      <c r="L24" s="15" t="e">
        <f t="shared" ref="L24:L25" si="1">J24*K24</f>
        <v>#REF!</v>
      </c>
      <c r="M24" s="34">
        <v>558248.72</v>
      </c>
      <c r="N24" s="4" t="e">
        <f>#REF!</f>
        <v>#REF!</v>
      </c>
      <c r="O24" s="15" t="e">
        <f t="shared" ref="O24:O25" si="2">M24*N24</f>
        <v>#REF!</v>
      </c>
      <c r="P24" s="34">
        <v>558248.72</v>
      </c>
      <c r="Q24" s="4" t="e">
        <f>#REF!</f>
        <v>#REF!</v>
      </c>
      <c r="R24" s="15" t="e">
        <f t="shared" ref="R24:R25" si="3">P24*Q24</f>
        <v>#REF!</v>
      </c>
      <c r="S24" s="34">
        <v>558248.72</v>
      </c>
      <c r="T24" s="4" t="e">
        <f>#REF!</f>
        <v>#REF!</v>
      </c>
      <c r="U24" s="15" t="e">
        <f t="shared" ref="U24:U25" si="4">S24*T24</f>
        <v>#REF!</v>
      </c>
      <c r="V24" s="34">
        <v>558248.72</v>
      </c>
      <c r="W24" s="4" t="e">
        <f>#REF!</f>
        <v>#REF!</v>
      </c>
      <c r="X24" s="15" t="e">
        <f t="shared" ref="X24:X25" si="5">V24*W24</f>
        <v>#REF!</v>
      </c>
      <c r="Y24" s="34">
        <v>558248.72</v>
      </c>
      <c r="Z24" s="4" t="e">
        <f>#REF!</f>
        <v>#REF!</v>
      </c>
      <c r="AA24" s="15" t="e">
        <f t="shared" ref="AA24:AA25" si="6">Y24*Z24</f>
        <v>#REF!</v>
      </c>
      <c r="AB24" s="34">
        <v>558248.72</v>
      </c>
      <c r="AC24" s="4" t="e">
        <f>#REF!</f>
        <v>#REF!</v>
      </c>
      <c r="AD24" s="15" t="e">
        <f t="shared" ref="AD24:AD25" si="7">AB24*AC24</f>
        <v>#REF!</v>
      </c>
      <c r="AE24" s="34">
        <v>558248.72</v>
      </c>
      <c r="AF24" s="4" t="e">
        <f>#REF!</f>
        <v>#REF!</v>
      </c>
      <c r="AG24" s="15" t="e">
        <f t="shared" ref="AG24:AG25" si="8">AE24*AF24</f>
        <v>#REF!</v>
      </c>
      <c r="AH24" s="34">
        <v>558248.72</v>
      </c>
      <c r="AI24" s="4">
        <f>E24</f>
        <v>3.96</v>
      </c>
      <c r="AJ24" s="15">
        <f t="shared" ref="AJ24:AJ25" si="9">AH24*AI24</f>
        <v>2210664.9312</v>
      </c>
      <c r="AK24" s="34">
        <v>558248.72</v>
      </c>
      <c r="AL24" s="4" t="e">
        <f>#REF!</f>
        <v>#REF!</v>
      </c>
      <c r="AM24" s="15" t="e">
        <f t="shared" ref="AM24:AM25" si="10">AK24*AL24</f>
        <v>#REF!</v>
      </c>
      <c r="AN24" s="34">
        <v>558248.72</v>
      </c>
      <c r="AO24" s="4" t="e">
        <f>#REF!</f>
        <v>#REF!</v>
      </c>
      <c r="AP24" s="15" t="e">
        <f t="shared" ref="AP24:AP25" si="11">AN24*AO24</f>
        <v>#REF!</v>
      </c>
      <c r="AQ24" s="72" t="s">
        <v>112</v>
      </c>
    </row>
    <row r="25" spans="1:43" ht="17.25" x14ac:dyDescent="0.25">
      <c r="A25" s="5">
        <v>8.3000000000000007</v>
      </c>
      <c r="B25" s="28" t="str">
        <f>'Itemised Rates - June 2021'!B20</f>
        <v>Demolish surfaced (tarred) roads, rip and shape</v>
      </c>
      <c r="C25" s="24" t="s">
        <v>14</v>
      </c>
      <c r="D25" s="52">
        <v>61279.55</v>
      </c>
      <c r="E25" s="10">
        <f>'Itemised Rates - June 2021'!D20</f>
        <v>9.42</v>
      </c>
      <c r="F25" s="15">
        <f t="shared" ref="F25:F29" si="12">D25*E25</f>
        <v>577253.36100000003</v>
      </c>
      <c r="G25" s="34">
        <f>D25</f>
        <v>61279.55</v>
      </c>
      <c r="H25" s="4" t="e">
        <f>#REF!</f>
        <v>#REF!</v>
      </c>
      <c r="I25" s="15" t="e">
        <f t="shared" si="0"/>
        <v>#REF!</v>
      </c>
      <c r="J25" s="34">
        <v>43279.55</v>
      </c>
      <c r="K25" s="4" t="e">
        <f>#REF!</f>
        <v>#REF!</v>
      </c>
      <c r="L25" s="15" t="e">
        <f t="shared" si="1"/>
        <v>#REF!</v>
      </c>
      <c r="M25" s="34">
        <v>43279.55</v>
      </c>
      <c r="N25" s="4" t="e">
        <f>#REF!</f>
        <v>#REF!</v>
      </c>
      <c r="O25" s="15" t="e">
        <f t="shared" si="2"/>
        <v>#REF!</v>
      </c>
      <c r="P25" s="34">
        <v>43279.55</v>
      </c>
      <c r="Q25" s="4" t="e">
        <f>#REF!</f>
        <v>#REF!</v>
      </c>
      <c r="R25" s="15" t="e">
        <f t="shared" si="3"/>
        <v>#REF!</v>
      </c>
      <c r="S25" s="34">
        <v>43279.55</v>
      </c>
      <c r="T25" s="4" t="e">
        <f>#REF!</f>
        <v>#REF!</v>
      </c>
      <c r="U25" s="15" t="e">
        <f t="shared" si="4"/>
        <v>#REF!</v>
      </c>
      <c r="V25" s="34">
        <v>43279.55</v>
      </c>
      <c r="W25" s="4" t="e">
        <f>#REF!</f>
        <v>#REF!</v>
      </c>
      <c r="X25" s="15" t="e">
        <f t="shared" si="5"/>
        <v>#REF!</v>
      </c>
      <c r="Y25" s="34">
        <v>43279.55</v>
      </c>
      <c r="Z25" s="4" t="e">
        <f>#REF!</f>
        <v>#REF!</v>
      </c>
      <c r="AA25" s="15" t="e">
        <f t="shared" si="6"/>
        <v>#REF!</v>
      </c>
      <c r="AB25" s="34">
        <v>43279.55</v>
      </c>
      <c r="AC25" s="4" t="e">
        <f>#REF!</f>
        <v>#REF!</v>
      </c>
      <c r="AD25" s="15" t="e">
        <f t="shared" si="7"/>
        <v>#REF!</v>
      </c>
      <c r="AE25" s="34">
        <v>43279.55</v>
      </c>
      <c r="AF25" s="4" t="e">
        <f>#REF!</f>
        <v>#REF!</v>
      </c>
      <c r="AG25" s="15" t="e">
        <f t="shared" si="8"/>
        <v>#REF!</v>
      </c>
      <c r="AH25" s="34">
        <v>43279.55</v>
      </c>
      <c r="AI25" s="4">
        <f>E25</f>
        <v>9.42</v>
      </c>
      <c r="AJ25" s="15">
        <f t="shared" si="9"/>
        <v>407693.36100000003</v>
      </c>
      <c r="AK25" s="34">
        <v>43279.55</v>
      </c>
      <c r="AL25" s="4" t="e">
        <f>#REF!</f>
        <v>#REF!</v>
      </c>
      <c r="AM25" s="15" t="e">
        <f t="shared" si="10"/>
        <v>#REF!</v>
      </c>
      <c r="AN25" s="34">
        <v>43279.55</v>
      </c>
      <c r="AO25" s="4" t="e">
        <f>#REF!</f>
        <v>#REF!</v>
      </c>
      <c r="AP25" s="15" t="e">
        <f t="shared" si="11"/>
        <v>#REF!</v>
      </c>
      <c r="AQ25" s="72" t="s">
        <v>112</v>
      </c>
    </row>
    <row r="26" spans="1:43" x14ac:dyDescent="0.25">
      <c r="A26" s="5"/>
      <c r="B26" s="206" t="s">
        <v>48</v>
      </c>
      <c r="C26" s="207"/>
      <c r="D26" s="208"/>
      <c r="E26" s="209"/>
      <c r="F26" s="210"/>
      <c r="G26" s="195"/>
      <c r="H26" s="212"/>
      <c r="I26" s="223"/>
      <c r="J26" s="195"/>
      <c r="K26" s="212"/>
      <c r="L26" s="223"/>
      <c r="M26" s="195"/>
      <c r="N26" s="212"/>
      <c r="O26" s="223"/>
      <c r="P26" s="195"/>
      <c r="Q26" s="212"/>
      <c r="R26" s="223"/>
      <c r="S26" s="195"/>
      <c r="T26" s="212"/>
      <c r="U26" s="223"/>
      <c r="V26" s="195"/>
      <c r="W26" s="212"/>
      <c r="X26" s="223"/>
      <c r="Y26" s="195"/>
      <c r="Z26" s="212"/>
      <c r="AA26" s="223"/>
      <c r="AB26" s="195"/>
      <c r="AC26" s="212"/>
      <c r="AD26" s="223"/>
      <c r="AE26" s="195"/>
      <c r="AF26" s="212"/>
      <c r="AG26" s="223"/>
      <c r="AH26" s="195"/>
      <c r="AI26" s="212"/>
      <c r="AJ26" s="223"/>
      <c r="AK26" s="195"/>
      <c r="AL26" s="212"/>
      <c r="AM26" s="223"/>
      <c r="AN26" s="195"/>
      <c r="AO26" s="212"/>
      <c r="AP26" s="223"/>
      <c r="AQ26" s="72"/>
    </row>
    <row r="27" spans="1:43" ht="17.25" x14ac:dyDescent="0.25">
      <c r="A27" s="5">
        <v>8.1</v>
      </c>
      <c r="B27" s="28" t="str">
        <f>'Itemised Rates - June 2021'!B18</f>
        <v>Demolish unsurfaced gravel roads, rip and shape</v>
      </c>
      <c r="C27" s="24" t="s">
        <v>14</v>
      </c>
      <c r="D27" s="52">
        <f>32749.13-1200-5000+42150</f>
        <v>68699.13</v>
      </c>
      <c r="E27" s="10">
        <f>'Itemised Rates - June 2021'!D18</f>
        <v>1.98</v>
      </c>
      <c r="F27" s="15">
        <f t="shared" si="12"/>
        <v>136024.27740000002</v>
      </c>
      <c r="G27" s="34">
        <f>D27-500</f>
        <v>68199.13</v>
      </c>
      <c r="H27" s="4" t="e">
        <f>H23</f>
        <v>#REF!</v>
      </c>
      <c r="I27" s="15" t="e">
        <f t="shared" si="0"/>
        <v>#REF!</v>
      </c>
      <c r="J27" s="34">
        <v>32749.13</v>
      </c>
      <c r="K27" s="4" t="e">
        <f>K23</f>
        <v>#REF!</v>
      </c>
      <c r="L27" s="15" t="e">
        <f t="shared" ref="L27:L29" si="13">J27*K27</f>
        <v>#REF!</v>
      </c>
      <c r="M27" s="34">
        <v>32749.13</v>
      </c>
      <c r="N27" s="4" t="e">
        <f>N23</f>
        <v>#REF!</v>
      </c>
      <c r="O27" s="15" t="e">
        <f t="shared" ref="O27:O29" si="14">M27*N27</f>
        <v>#REF!</v>
      </c>
      <c r="P27" s="34">
        <v>32749.13</v>
      </c>
      <c r="Q27" s="4" t="e">
        <f>Q23</f>
        <v>#REF!</v>
      </c>
      <c r="R27" s="15" t="e">
        <f t="shared" ref="R27:R29" si="15">P27*Q27</f>
        <v>#REF!</v>
      </c>
      <c r="S27" s="34">
        <v>32749.13</v>
      </c>
      <c r="T27" s="4" t="e">
        <f>T23</f>
        <v>#REF!</v>
      </c>
      <c r="U27" s="15" t="e">
        <f t="shared" ref="U27:U29" si="16">S27*T27</f>
        <v>#REF!</v>
      </c>
      <c r="V27" s="34">
        <v>32749.13</v>
      </c>
      <c r="W27" s="4" t="e">
        <f>W23</f>
        <v>#REF!</v>
      </c>
      <c r="X27" s="15" t="e">
        <f t="shared" ref="X27:X29" si="17">V27*W27</f>
        <v>#REF!</v>
      </c>
      <c r="Y27" s="34">
        <v>32749.13</v>
      </c>
      <c r="Z27" s="4" t="e">
        <f>Z23</f>
        <v>#REF!</v>
      </c>
      <c r="AA27" s="15" t="e">
        <f t="shared" ref="AA27:AA29" si="18">Y27*Z27</f>
        <v>#REF!</v>
      </c>
      <c r="AB27" s="34">
        <v>32749.13</v>
      </c>
      <c r="AC27" s="4" t="e">
        <f>AC23</f>
        <v>#REF!</v>
      </c>
      <c r="AD27" s="15" t="e">
        <f t="shared" ref="AD27:AD29" si="19">AB27*AC27</f>
        <v>#REF!</v>
      </c>
      <c r="AE27" s="34">
        <v>32749.13</v>
      </c>
      <c r="AF27" s="4" t="e">
        <f>AF23</f>
        <v>#REF!</v>
      </c>
      <c r="AG27" s="15" t="e">
        <f t="shared" ref="AG27:AG29" si="20">AE27*AF27</f>
        <v>#REF!</v>
      </c>
      <c r="AH27" s="34">
        <v>32749.13</v>
      </c>
      <c r="AI27" s="4">
        <f>E27</f>
        <v>1.98</v>
      </c>
      <c r="AJ27" s="15">
        <f t="shared" ref="AJ27:AJ29" si="21">AH27*AI27</f>
        <v>64843.277399999999</v>
      </c>
      <c r="AK27" s="34">
        <v>32749.13</v>
      </c>
      <c r="AL27" s="4" t="e">
        <f>AL23</f>
        <v>#REF!</v>
      </c>
      <c r="AM27" s="15" t="e">
        <f t="shared" ref="AM27:AM29" si="22">AK27*AL27</f>
        <v>#REF!</v>
      </c>
      <c r="AN27" s="34">
        <v>32749.13</v>
      </c>
      <c r="AO27" s="4" t="e">
        <f>AO23</f>
        <v>#REF!</v>
      </c>
      <c r="AP27" s="15" t="e">
        <f t="shared" ref="AP27:AP29" si="23">AN27*AO27</f>
        <v>#REF!</v>
      </c>
      <c r="AQ27" s="72" t="s">
        <v>112</v>
      </c>
    </row>
    <row r="28" spans="1:43" ht="17.25" x14ac:dyDescent="0.25">
      <c r="A28" s="5">
        <v>8.1999999999999993</v>
      </c>
      <c r="B28" s="28" t="str">
        <f>'Itemised Rates - June 2021'!B19</f>
        <v>Demolish unsurfaced haul roads, rip and shape</v>
      </c>
      <c r="C28" s="24" t="s">
        <v>14</v>
      </c>
      <c r="D28" s="52">
        <v>366316.73</v>
      </c>
      <c r="E28" s="10">
        <f>'Itemised Rates - June 2021'!D19</f>
        <v>3.96</v>
      </c>
      <c r="F28" s="15">
        <f>D28*E28</f>
        <v>1450614.2507999998</v>
      </c>
      <c r="G28" s="34">
        <f>D28</f>
        <v>366316.73</v>
      </c>
      <c r="H28" s="4" t="e">
        <f>H24</f>
        <v>#REF!</v>
      </c>
      <c r="I28" s="15" t="e">
        <f t="shared" si="0"/>
        <v>#REF!</v>
      </c>
      <c r="J28" s="34">
        <v>366316.73</v>
      </c>
      <c r="K28" s="4" t="e">
        <f>K24</f>
        <v>#REF!</v>
      </c>
      <c r="L28" s="15" t="e">
        <f t="shared" si="13"/>
        <v>#REF!</v>
      </c>
      <c r="M28" s="34">
        <v>366316.73</v>
      </c>
      <c r="N28" s="4" t="e">
        <f>N24</f>
        <v>#REF!</v>
      </c>
      <c r="O28" s="15" t="e">
        <f t="shared" si="14"/>
        <v>#REF!</v>
      </c>
      <c r="P28" s="34">
        <v>366316.73</v>
      </c>
      <c r="Q28" s="4" t="e">
        <f>Q24</f>
        <v>#REF!</v>
      </c>
      <c r="R28" s="15" t="e">
        <f t="shared" si="15"/>
        <v>#REF!</v>
      </c>
      <c r="S28" s="34">
        <v>366316.73</v>
      </c>
      <c r="T28" s="4" t="e">
        <f>T24</f>
        <v>#REF!</v>
      </c>
      <c r="U28" s="15" t="e">
        <f t="shared" si="16"/>
        <v>#REF!</v>
      </c>
      <c r="V28" s="34">
        <v>366316.73</v>
      </c>
      <c r="W28" s="4" t="e">
        <f>W24</f>
        <v>#REF!</v>
      </c>
      <c r="X28" s="15" t="e">
        <f t="shared" si="17"/>
        <v>#REF!</v>
      </c>
      <c r="Y28" s="34">
        <v>366316.73</v>
      </c>
      <c r="Z28" s="4" t="e">
        <f>Z24</f>
        <v>#REF!</v>
      </c>
      <c r="AA28" s="15" t="e">
        <f t="shared" si="18"/>
        <v>#REF!</v>
      </c>
      <c r="AB28" s="34">
        <v>366316.73</v>
      </c>
      <c r="AC28" s="4" t="e">
        <f>AC24</f>
        <v>#REF!</v>
      </c>
      <c r="AD28" s="15" t="e">
        <f t="shared" si="19"/>
        <v>#REF!</v>
      </c>
      <c r="AE28" s="34">
        <v>366316.73</v>
      </c>
      <c r="AF28" s="4" t="e">
        <f>AF24</f>
        <v>#REF!</v>
      </c>
      <c r="AG28" s="15" t="e">
        <f t="shared" si="20"/>
        <v>#REF!</v>
      </c>
      <c r="AH28" s="34">
        <v>366316.73</v>
      </c>
      <c r="AI28" s="4">
        <f>E28</f>
        <v>3.96</v>
      </c>
      <c r="AJ28" s="15">
        <f t="shared" si="21"/>
        <v>1450614.2507999998</v>
      </c>
      <c r="AK28" s="34">
        <v>366316.73</v>
      </c>
      <c r="AL28" s="4" t="e">
        <f>AL24</f>
        <v>#REF!</v>
      </c>
      <c r="AM28" s="15" t="e">
        <f t="shared" si="22"/>
        <v>#REF!</v>
      </c>
      <c r="AN28" s="34">
        <v>366316.73</v>
      </c>
      <c r="AO28" s="4" t="e">
        <f>AO24</f>
        <v>#REF!</v>
      </c>
      <c r="AP28" s="15" t="e">
        <f t="shared" si="23"/>
        <v>#REF!</v>
      </c>
      <c r="AQ28" s="72" t="s">
        <v>112</v>
      </c>
    </row>
    <row r="29" spans="1:43" ht="17.25" x14ac:dyDescent="0.25">
      <c r="A29" s="5">
        <v>8.3000000000000007</v>
      </c>
      <c r="B29" s="28" t="str">
        <f>'Itemised Rates - June 2021'!B20</f>
        <v>Demolish surfaced (tarred) roads, rip and shape</v>
      </c>
      <c r="C29" s="24" t="s">
        <v>14</v>
      </c>
      <c r="D29" s="52">
        <f>127226.56-7000</f>
        <v>120226.56</v>
      </c>
      <c r="E29" s="10">
        <f>'Itemised Rates - June 2021'!D20</f>
        <v>9.42</v>
      </c>
      <c r="F29" s="15">
        <f t="shared" si="12"/>
        <v>1132534.1952</v>
      </c>
      <c r="G29" s="34">
        <f>D29-4000</f>
        <v>116226.56</v>
      </c>
      <c r="H29" s="4" t="e">
        <f>H25</f>
        <v>#REF!</v>
      </c>
      <c r="I29" s="15" t="e">
        <f t="shared" si="0"/>
        <v>#REF!</v>
      </c>
      <c r="J29" s="34">
        <v>127226.56</v>
      </c>
      <c r="K29" s="4" t="e">
        <f>K25</f>
        <v>#REF!</v>
      </c>
      <c r="L29" s="15" t="e">
        <f t="shared" si="13"/>
        <v>#REF!</v>
      </c>
      <c r="M29" s="34">
        <v>127226.56</v>
      </c>
      <c r="N29" s="4" t="e">
        <f>N25</f>
        <v>#REF!</v>
      </c>
      <c r="O29" s="15" t="e">
        <f t="shared" si="14"/>
        <v>#REF!</v>
      </c>
      <c r="P29" s="34">
        <v>127226.56</v>
      </c>
      <c r="Q29" s="4" t="e">
        <f>Q25</f>
        <v>#REF!</v>
      </c>
      <c r="R29" s="15" t="e">
        <f t="shared" si="15"/>
        <v>#REF!</v>
      </c>
      <c r="S29" s="34">
        <v>127226.56</v>
      </c>
      <c r="T29" s="4" t="e">
        <f>T25</f>
        <v>#REF!</v>
      </c>
      <c r="U29" s="15" t="e">
        <f t="shared" si="16"/>
        <v>#REF!</v>
      </c>
      <c r="V29" s="34">
        <v>127226.56</v>
      </c>
      <c r="W29" s="4" t="e">
        <f>W25</f>
        <v>#REF!</v>
      </c>
      <c r="X29" s="15" t="e">
        <f t="shared" si="17"/>
        <v>#REF!</v>
      </c>
      <c r="Y29" s="34">
        <v>127226.56</v>
      </c>
      <c r="Z29" s="4" t="e">
        <f>Z25</f>
        <v>#REF!</v>
      </c>
      <c r="AA29" s="15" t="e">
        <f t="shared" si="18"/>
        <v>#REF!</v>
      </c>
      <c r="AB29" s="34">
        <v>127226.56</v>
      </c>
      <c r="AC29" s="4" t="e">
        <f>AC25</f>
        <v>#REF!</v>
      </c>
      <c r="AD29" s="15" t="e">
        <f t="shared" si="19"/>
        <v>#REF!</v>
      </c>
      <c r="AE29" s="34">
        <v>127226.56</v>
      </c>
      <c r="AF29" s="4" t="e">
        <f>AF25</f>
        <v>#REF!</v>
      </c>
      <c r="AG29" s="15" t="e">
        <f t="shared" si="20"/>
        <v>#REF!</v>
      </c>
      <c r="AH29" s="34">
        <v>127226.56</v>
      </c>
      <c r="AI29" s="4">
        <f>E29</f>
        <v>9.42</v>
      </c>
      <c r="AJ29" s="15">
        <f t="shared" si="21"/>
        <v>1198474.1952</v>
      </c>
      <c r="AK29" s="34">
        <v>127226.56</v>
      </c>
      <c r="AL29" s="4" t="e">
        <f>AL25</f>
        <v>#REF!</v>
      </c>
      <c r="AM29" s="15" t="e">
        <f t="shared" si="22"/>
        <v>#REF!</v>
      </c>
      <c r="AN29" s="34">
        <v>127226.56</v>
      </c>
      <c r="AO29" s="4" t="e">
        <f>AO25</f>
        <v>#REF!</v>
      </c>
      <c r="AP29" s="15" t="e">
        <f t="shared" si="23"/>
        <v>#REF!</v>
      </c>
      <c r="AQ29" s="72" t="s">
        <v>112</v>
      </c>
    </row>
    <row r="30" spans="1:43" x14ac:dyDescent="0.25">
      <c r="A30" s="2"/>
      <c r="B30" s="213" t="s">
        <v>24</v>
      </c>
      <c r="C30" s="214"/>
      <c r="D30" s="215"/>
      <c r="E30" s="217"/>
      <c r="F30" s="218"/>
      <c r="G30" s="228"/>
      <c r="H30" s="229"/>
      <c r="I30" s="230"/>
      <c r="J30" s="35"/>
      <c r="K30" s="36"/>
      <c r="L30" s="40"/>
      <c r="M30" s="35"/>
      <c r="N30" s="36"/>
      <c r="O30" s="40"/>
      <c r="P30" s="35"/>
      <c r="Q30" s="36"/>
      <c r="R30" s="40"/>
      <c r="S30" s="35"/>
      <c r="T30" s="36"/>
      <c r="U30" s="40"/>
      <c r="V30" s="35"/>
      <c r="W30" s="36"/>
      <c r="X30" s="40"/>
      <c r="Y30" s="35"/>
      <c r="Z30" s="36"/>
      <c r="AA30" s="40"/>
      <c r="AB30" s="35"/>
      <c r="AC30" s="36"/>
      <c r="AD30" s="40"/>
      <c r="AE30" s="35"/>
      <c r="AF30" s="36"/>
      <c r="AG30" s="40"/>
      <c r="AH30" s="35"/>
      <c r="AI30" s="36"/>
      <c r="AJ30" s="40"/>
      <c r="AK30" s="35"/>
      <c r="AL30" s="36"/>
      <c r="AM30" s="40"/>
      <c r="AN30" s="35"/>
      <c r="AO30" s="36"/>
      <c r="AP30" s="40"/>
      <c r="AQ30" s="72"/>
    </row>
    <row r="31" spans="1:43" x14ac:dyDescent="0.25">
      <c r="A31" s="5"/>
      <c r="B31" s="206" t="s">
        <v>47</v>
      </c>
      <c r="C31" s="207"/>
      <c r="D31" s="208"/>
      <c r="E31" s="209"/>
      <c r="F31" s="210"/>
      <c r="G31" s="195"/>
      <c r="H31" s="212"/>
      <c r="I31" s="223"/>
      <c r="J31" s="195"/>
      <c r="K31" s="212"/>
      <c r="L31" s="223"/>
      <c r="M31" s="195"/>
      <c r="N31" s="212"/>
      <c r="O31" s="223"/>
      <c r="P31" s="195"/>
      <c r="Q31" s="212"/>
      <c r="R31" s="223"/>
      <c r="S31" s="195"/>
      <c r="T31" s="212"/>
      <c r="U31" s="223"/>
      <c r="V31" s="195"/>
      <c r="W31" s="212"/>
      <c r="X31" s="223"/>
      <c r="Y31" s="195"/>
      <c r="Z31" s="212"/>
      <c r="AA31" s="223"/>
      <c r="AB31" s="195"/>
      <c r="AC31" s="212"/>
      <c r="AD31" s="223"/>
      <c r="AE31" s="195"/>
      <c r="AF31" s="212"/>
      <c r="AG31" s="223"/>
      <c r="AH31" s="195"/>
      <c r="AI31" s="212"/>
      <c r="AJ31" s="223"/>
      <c r="AK31" s="195"/>
      <c r="AL31" s="212"/>
      <c r="AM31" s="223"/>
      <c r="AN31" s="195"/>
      <c r="AO31" s="212"/>
      <c r="AP31" s="223"/>
      <c r="AQ31" s="72"/>
    </row>
    <row r="32" spans="1:43" x14ac:dyDescent="0.25">
      <c r="A32" s="5">
        <v>10.199999999999999</v>
      </c>
      <c r="B32" s="6" t="str">
        <f>'Itemised Rates - June 2021'!B24</f>
        <v>Remove rails, sleepers and ballast</v>
      </c>
      <c r="C32" s="24" t="s">
        <v>16</v>
      </c>
      <c r="D32" s="52">
        <v>10618.87</v>
      </c>
      <c r="E32" s="10">
        <f>'Itemised Rates - June 2021'!D24</f>
        <v>155.63</v>
      </c>
      <c r="F32" s="15">
        <f>D32*E32</f>
        <v>1652614.7381000002</v>
      </c>
      <c r="G32" s="34">
        <f>D32</f>
        <v>10618.87</v>
      </c>
      <c r="H32" s="4" t="e">
        <f>#REF!</f>
        <v>#REF!</v>
      </c>
      <c r="I32" s="15" t="e">
        <f>G32*H32</f>
        <v>#REF!</v>
      </c>
      <c r="J32" s="34">
        <v>10618.87</v>
      </c>
      <c r="K32" s="4" t="e">
        <f>#REF!</f>
        <v>#REF!</v>
      </c>
      <c r="L32" s="15" t="e">
        <f>J32*K32</f>
        <v>#REF!</v>
      </c>
      <c r="M32" s="34">
        <v>10618.87</v>
      </c>
      <c r="N32" s="4" t="e">
        <f>#REF!</f>
        <v>#REF!</v>
      </c>
      <c r="O32" s="15" t="e">
        <f>M32*N32</f>
        <v>#REF!</v>
      </c>
      <c r="P32" s="34">
        <v>10618.87</v>
      </c>
      <c r="Q32" s="4" t="e">
        <f>#REF!</f>
        <v>#REF!</v>
      </c>
      <c r="R32" s="15" t="e">
        <f>P32*Q32</f>
        <v>#REF!</v>
      </c>
      <c r="S32" s="34">
        <v>10618.87</v>
      </c>
      <c r="T32" s="4" t="e">
        <f>#REF!</f>
        <v>#REF!</v>
      </c>
      <c r="U32" s="15" t="e">
        <f>S32*T32</f>
        <v>#REF!</v>
      </c>
      <c r="V32" s="34">
        <v>10618.87</v>
      </c>
      <c r="W32" s="4" t="e">
        <f>#REF!</f>
        <v>#REF!</v>
      </c>
      <c r="X32" s="15" t="e">
        <f>V32*W32</f>
        <v>#REF!</v>
      </c>
      <c r="Y32" s="34">
        <v>10618.87</v>
      </c>
      <c r="Z32" s="4" t="e">
        <f>#REF!</f>
        <v>#REF!</v>
      </c>
      <c r="AA32" s="15" t="e">
        <f>Y32*Z32</f>
        <v>#REF!</v>
      </c>
      <c r="AB32" s="34">
        <v>10618.87</v>
      </c>
      <c r="AC32" s="4" t="e">
        <f>#REF!</f>
        <v>#REF!</v>
      </c>
      <c r="AD32" s="15" t="e">
        <f>AB32*AC32</f>
        <v>#REF!</v>
      </c>
      <c r="AE32" s="34">
        <v>10618.87</v>
      </c>
      <c r="AF32" s="4" t="e">
        <f>#REF!</f>
        <v>#REF!</v>
      </c>
      <c r="AG32" s="15" t="e">
        <f>AE32*AF32</f>
        <v>#REF!</v>
      </c>
      <c r="AH32" s="34">
        <v>10618.87</v>
      </c>
      <c r="AI32" s="4">
        <f>E32</f>
        <v>155.63</v>
      </c>
      <c r="AJ32" s="15">
        <f>AH32*AI32</f>
        <v>1652614.7381000002</v>
      </c>
      <c r="AK32" s="34">
        <v>10618.87</v>
      </c>
      <c r="AL32" s="4" t="e">
        <f>#REF!</f>
        <v>#REF!</v>
      </c>
      <c r="AM32" s="15" t="e">
        <f>AK32*AL32</f>
        <v>#REF!</v>
      </c>
      <c r="AN32" s="34">
        <v>10618.87</v>
      </c>
      <c r="AO32" s="4" t="e">
        <f>#REF!</f>
        <v>#REF!</v>
      </c>
      <c r="AP32" s="15" t="e">
        <f>AN32*AO32</f>
        <v>#REF!</v>
      </c>
      <c r="AQ32" s="72" t="s">
        <v>112</v>
      </c>
    </row>
    <row r="33" spans="1:43" x14ac:dyDescent="0.25">
      <c r="A33" s="2"/>
      <c r="B33" s="213" t="s">
        <v>50</v>
      </c>
      <c r="C33" s="214"/>
      <c r="D33" s="215"/>
      <c r="E33" s="217"/>
      <c r="F33" s="218"/>
      <c r="G33" s="228"/>
      <c r="H33" s="229"/>
      <c r="I33" s="230"/>
      <c r="J33" s="35"/>
      <c r="K33" s="36"/>
      <c r="L33" s="40"/>
      <c r="M33" s="35"/>
      <c r="N33" s="36"/>
      <c r="O33" s="40"/>
      <c r="P33" s="35"/>
      <c r="Q33" s="36"/>
      <c r="R33" s="40"/>
      <c r="S33" s="35"/>
      <c r="T33" s="36"/>
      <c r="U33" s="40"/>
      <c r="V33" s="35"/>
      <c r="W33" s="36"/>
      <c r="X33" s="40"/>
      <c r="Y33" s="35"/>
      <c r="Z33" s="36"/>
      <c r="AA33" s="40"/>
      <c r="AB33" s="35"/>
      <c r="AC33" s="36"/>
      <c r="AD33" s="40"/>
      <c r="AE33" s="35"/>
      <c r="AF33" s="36"/>
      <c r="AG33" s="40"/>
      <c r="AH33" s="35"/>
      <c r="AI33" s="36"/>
      <c r="AJ33" s="40"/>
      <c r="AK33" s="35"/>
      <c r="AL33" s="36"/>
      <c r="AM33" s="40"/>
      <c r="AN33" s="35"/>
      <c r="AO33" s="36"/>
      <c r="AP33" s="40"/>
      <c r="AQ33" s="72"/>
    </row>
    <row r="34" spans="1:43" x14ac:dyDescent="0.25">
      <c r="A34" s="5"/>
      <c r="B34" s="206" t="s">
        <v>52</v>
      </c>
      <c r="C34" s="207"/>
      <c r="D34" s="208"/>
      <c r="E34" s="209"/>
      <c r="F34" s="210"/>
      <c r="G34" s="195"/>
      <c r="H34" s="212"/>
      <c r="I34" s="223"/>
      <c r="J34" s="195"/>
      <c r="K34" s="212"/>
      <c r="L34" s="223"/>
      <c r="M34" s="195"/>
      <c r="N34" s="212"/>
      <c r="O34" s="223"/>
      <c r="P34" s="195"/>
      <c r="Q34" s="212"/>
      <c r="R34" s="223"/>
      <c r="S34" s="195"/>
      <c r="T34" s="212"/>
      <c r="U34" s="223"/>
      <c r="V34" s="195"/>
      <c r="W34" s="212"/>
      <c r="X34" s="223"/>
      <c r="Y34" s="195"/>
      <c r="Z34" s="212"/>
      <c r="AA34" s="223"/>
      <c r="AB34" s="195"/>
      <c r="AC34" s="212"/>
      <c r="AD34" s="223"/>
      <c r="AE34" s="195"/>
      <c r="AF34" s="212"/>
      <c r="AG34" s="223"/>
      <c r="AH34" s="195"/>
      <c r="AI34" s="212"/>
      <c r="AJ34" s="223"/>
      <c r="AK34" s="195"/>
      <c r="AL34" s="212"/>
      <c r="AM34" s="223"/>
      <c r="AN34" s="195"/>
      <c r="AO34" s="212"/>
      <c r="AP34" s="223"/>
      <c r="AQ34" s="72"/>
    </row>
    <row r="35" spans="1:43" ht="17.25" x14ac:dyDescent="0.25">
      <c r="A35" s="5">
        <v>2.1</v>
      </c>
      <c r="B35" s="29" t="str">
        <f>'Itemised Rates - June 2021'!B8</f>
        <v>Demolish all reinforced concrete foundations/bases/slabs/floors</v>
      </c>
      <c r="C35" s="24" t="s">
        <v>14</v>
      </c>
      <c r="D35" s="52">
        <f>37230-300+100+85+98+15+(52*15)+(2.6*1.5)+60+875+11.5</f>
        <v>38958.400000000001</v>
      </c>
      <c r="E35" s="10">
        <f>'Itemised Rates - June 2021'!D8</f>
        <v>218.27</v>
      </c>
      <c r="F35" s="15">
        <f>D35*E35</f>
        <v>8503449.9680000003</v>
      </c>
      <c r="G35" s="34">
        <f>D35</f>
        <v>38958.400000000001</v>
      </c>
      <c r="H35" s="4" t="e">
        <f>#REF!</f>
        <v>#REF!</v>
      </c>
      <c r="I35" s="15" t="e">
        <f>G35*H35</f>
        <v>#REF!</v>
      </c>
      <c r="J35" s="34">
        <f>G35</f>
        <v>38958.400000000001</v>
      </c>
      <c r="K35" s="4" t="e">
        <f>#REF!</f>
        <v>#REF!</v>
      </c>
      <c r="L35" s="15" t="e">
        <f>J35*K35</f>
        <v>#REF!</v>
      </c>
      <c r="M35" s="34">
        <f>J35</f>
        <v>38958.400000000001</v>
      </c>
      <c r="N35" s="4" t="e">
        <f>#REF!</f>
        <v>#REF!</v>
      </c>
      <c r="O35" s="15" t="e">
        <f>M35*N35</f>
        <v>#REF!</v>
      </c>
      <c r="P35" s="34">
        <f>M35</f>
        <v>38958.400000000001</v>
      </c>
      <c r="Q35" s="4" t="e">
        <f>#REF!</f>
        <v>#REF!</v>
      </c>
      <c r="R35" s="15" t="e">
        <f>P35*Q35</f>
        <v>#REF!</v>
      </c>
      <c r="S35" s="34">
        <f>P35</f>
        <v>38958.400000000001</v>
      </c>
      <c r="T35" s="4" t="e">
        <f>#REF!</f>
        <v>#REF!</v>
      </c>
      <c r="U35" s="15" t="e">
        <f>S35*T35</f>
        <v>#REF!</v>
      </c>
      <c r="V35" s="34">
        <f>S35</f>
        <v>38958.400000000001</v>
      </c>
      <c r="W35" s="4" t="e">
        <f>#REF!</f>
        <v>#REF!</v>
      </c>
      <c r="X35" s="15" t="e">
        <f>V35*W35</f>
        <v>#REF!</v>
      </c>
      <c r="Y35" s="34">
        <f>V35</f>
        <v>38958.400000000001</v>
      </c>
      <c r="Z35" s="4" t="e">
        <f>#REF!</f>
        <v>#REF!</v>
      </c>
      <c r="AA35" s="15" t="e">
        <f>Y35*Z35</f>
        <v>#REF!</v>
      </c>
      <c r="AB35" s="34">
        <f>Y35</f>
        <v>38958.400000000001</v>
      </c>
      <c r="AC35" s="4" t="e">
        <f>#REF!</f>
        <v>#REF!</v>
      </c>
      <c r="AD35" s="15" t="e">
        <f>AB35*AC35</f>
        <v>#REF!</v>
      </c>
      <c r="AE35" s="34">
        <f>AB35</f>
        <v>38958.400000000001</v>
      </c>
      <c r="AF35" s="4" t="e">
        <f>#REF!</f>
        <v>#REF!</v>
      </c>
      <c r="AG35" s="15" t="e">
        <f>AE35*AF35</f>
        <v>#REF!</v>
      </c>
      <c r="AH35" s="34">
        <f>AE35</f>
        <v>38958.400000000001</v>
      </c>
      <c r="AI35" s="4">
        <f>E35</f>
        <v>218.27</v>
      </c>
      <c r="AJ35" s="15">
        <f>AH35*AI35</f>
        <v>8503449.9680000003</v>
      </c>
      <c r="AK35" s="34">
        <f>AH35</f>
        <v>38958.400000000001</v>
      </c>
      <c r="AL35" s="4" t="e">
        <f>#REF!</f>
        <v>#REF!</v>
      </c>
      <c r="AM35" s="15" t="e">
        <f>AK35*AL35</f>
        <v>#REF!</v>
      </c>
      <c r="AN35" s="34">
        <f>AK35</f>
        <v>38958.400000000001</v>
      </c>
      <c r="AO35" s="4" t="e">
        <f>#REF!</f>
        <v>#REF!</v>
      </c>
      <c r="AP35" s="15" t="e">
        <f>AN35*AO35</f>
        <v>#REF!</v>
      </c>
      <c r="AQ35" s="72" t="s">
        <v>112</v>
      </c>
    </row>
    <row r="36" spans="1:43" x14ac:dyDescent="0.25">
      <c r="A36" s="2"/>
      <c r="B36" s="213" t="s">
        <v>45</v>
      </c>
      <c r="C36" s="214"/>
      <c r="D36" s="215"/>
      <c r="E36" s="217"/>
      <c r="F36" s="218"/>
      <c r="G36" s="228"/>
      <c r="H36" s="229"/>
      <c r="I36" s="230"/>
      <c r="J36" s="35"/>
      <c r="K36" s="36"/>
      <c r="L36" s="40"/>
      <c r="M36" s="35"/>
      <c r="N36" s="36"/>
      <c r="O36" s="40"/>
      <c r="P36" s="35"/>
      <c r="Q36" s="36"/>
      <c r="R36" s="40"/>
      <c r="S36" s="35"/>
      <c r="T36" s="36"/>
      <c r="U36" s="40"/>
      <c r="V36" s="35"/>
      <c r="W36" s="36"/>
      <c r="X36" s="40"/>
      <c r="Y36" s="35"/>
      <c r="Z36" s="36"/>
      <c r="AA36" s="40"/>
      <c r="AB36" s="35"/>
      <c r="AC36" s="36"/>
      <c r="AD36" s="40"/>
      <c r="AE36" s="35"/>
      <c r="AF36" s="36"/>
      <c r="AG36" s="40"/>
      <c r="AH36" s="35"/>
      <c r="AI36" s="36"/>
      <c r="AJ36" s="40"/>
      <c r="AK36" s="35"/>
      <c r="AL36" s="36"/>
      <c r="AM36" s="40"/>
      <c r="AN36" s="35"/>
      <c r="AO36" s="36"/>
      <c r="AP36" s="40"/>
      <c r="AQ36" s="72"/>
    </row>
    <row r="37" spans="1:43" x14ac:dyDescent="0.25">
      <c r="A37" s="5"/>
      <c r="B37" s="206" t="s">
        <v>47</v>
      </c>
      <c r="C37" s="207"/>
      <c r="D37" s="208"/>
      <c r="E37" s="209"/>
      <c r="F37" s="210"/>
      <c r="G37" s="195"/>
      <c r="H37" s="212"/>
      <c r="I37" s="223"/>
      <c r="J37" s="195"/>
      <c r="K37" s="212"/>
      <c r="L37" s="223"/>
      <c r="M37" s="195"/>
      <c r="N37" s="212"/>
      <c r="O37" s="223"/>
      <c r="P37" s="195"/>
      <c r="Q37" s="212"/>
      <c r="R37" s="223"/>
      <c r="S37" s="195"/>
      <c r="T37" s="212"/>
      <c r="U37" s="223"/>
      <c r="V37" s="195"/>
      <c r="W37" s="212"/>
      <c r="X37" s="223"/>
      <c r="Y37" s="195"/>
      <c r="Z37" s="212"/>
      <c r="AA37" s="223"/>
      <c r="AB37" s="195"/>
      <c r="AC37" s="212"/>
      <c r="AD37" s="223"/>
      <c r="AE37" s="195"/>
      <c r="AF37" s="212"/>
      <c r="AG37" s="223"/>
      <c r="AH37" s="195"/>
      <c r="AI37" s="212"/>
      <c r="AJ37" s="223"/>
      <c r="AK37" s="195"/>
      <c r="AL37" s="212"/>
      <c r="AM37" s="223"/>
      <c r="AN37" s="195"/>
      <c r="AO37" s="212"/>
      <c r="AP37" s="223"/>
      <c r="AQ37" s="72"/>
    </row>
    <row r="38" spans="1:43" x14ac:dyDescent="0.25">
      <c r="A38" s="5">
        <v>7.1</v>
      </c>
      <c r="B38" s="27" t="str">
        <f>'Itemised Rates - June 2021'!B14</f>
        <v>Dismantle and remove piping on surface to stockpile</v>
      </c>
      <c r="C38" s="24" t="s">
        <v>16</v>
      </c>
      <c r="D38" s="52">
        <v>2080.54</v>
      </c>
      <c r="E38" s="10">
        <f>'Itemised Rates - June 2021'!D14</f>
        <v>57.6</v>
      </c>
      <c r="F38" s="15">
        <f>D38*E38</f>
        <v>119839.10400000001</v>
      </c>
      <c r="G38" s="34">
        <f>D38</f>
        <v>2080.54</v>
      </c>
      <c r="H38" s="4" t="e">
        <f>#REF!</f>
        <v>#REF!</v>
      </c>
      <c r="I38" s="15" t="e">
        <f>G38*H38</f>
        <v>#REF!</v>
      </c>
      <c r="J38" s="34">
        <f>G38</f>
        <v>2080.54</v>
      </c>
      <c r="K38" s="4" t="e">
        <f>#REF!</f>
        <v>#REF!</v>
      </c>
      <c r="L38" s="15" t="e">
        <f>J38*K38</f>
        <v>#REF!</v>
      </c>
      <c r="M38" s="34">
        <f>J38</f>
        <v>2080.54</v>
      </c>
      <c r="N38" s="4" t="e">
        <f>#REF!</f>
        <v>#REF!</v>
      </c>
      <c r="O38" s="15" t="e">
        <f>M38*N38</f>
        <v>#REF!</v>
      </c>
      <c r="P38" s="34">
        <f>M38</f>
        <v>2080.54</v>
      </c>
      <c r="Q38" s="4" t="e">
        <f>#REF!</f>
        <v>#REF!</v>
      </c>
      <c r="R38" s="15" t="e">
        <f>P38*Q38</f>
        <v>#REF!</v>
      </c>
      <c r="S38" s="34">
        <f>P38</f>
        <v>2080.54</v>
      </c>
      <c r="T38" s="4" t="e">
        <f>#REF!</f>
        <v>#REF!</v>
      </c>
      <c r="U38" s="15" t="e">
        <f>S38*T38</f>
        <v>#REF!</v>
      </c>
      <c r="V38" s="34">
        <f>S38</f>
        <v>2080.54</v>
      </c>
      <c r="W38" s="4" t="e">
        <f>#REF!</f>
        <v>#REF!</v>
      </c>
      <c r="X38" s="15" t="e">
        <f>V38*W38</f>
        <v>#REF!</v>
      </c>
      <c r="Y38" s="34">
        <f>V38</f>
        <v>2080.54</v>
      </c>
      <c r="Z38" s="4" t="e">
        <f>#REF!</f>
        <v>#REF!</v>
      </c>
      <c r="AA38" s="15" t="e">
        <f>Y38*Z38</f>
        <v>#REF!</v>
      </c>
      <c r="AB38" s="34">
        <f>Y38</f>
        <v>2080.54</v>
      </c>
      <c r="AC38" s="4" t="e">
        <f>#REF!</f>
        <v>#REF!</v>
      </c>
      <c r="AD38" s="15" t="e">
        <f>AB38*AC38</f>
        <v>#REF!</v>
      </c>
      <c r="AE38" s="34">
        <f>AB38</f>
        <v>2080.54</v>
      </c>
      <c r="AF38" s="4" t="e">
        <f>#REF!</f>
        <v>#REF!</v>
      </c>
      <c r="AG38" s="15" t="e">
        <f>AE38*AF38</f>
        <v>#REF!</v>
      </c>
      <c r="AH38" s="34">
        <f>AE38</f>
        <v>2080.54</v>
      </c>
      <c r="AI38" s="4">
        <f>E38</f>
        <v>57.6</v>
      </c>
      <c r="AJ38" s="15">
        <f>AH38*AI38</f>
        <v>119839.10400000001</v>
      </c>
      <c r="AK38" s="34">
        <f>AH38</f>
        <v>2080.54</v>
      </c>
      <c r="AL38" s="4" t="e">
        <f>#REF!</f>
        <v>#REF!</v>
      </c>
      <c r="AM38" s="15" t="e">
        <f>AK38*AL38</f>
        <v>#REF!</v>
      </c>
      <c r="AN38" s="34">
        <f>AK38</f>
        <v>2080.54</v>
      </c>
      <c r="AO38" s="4" t="e">
        <f>#REF!</f>
        <v>#REF!</v>
      </c>
      <c r="AP38" s="15" t="e">
        <f>AN38*AO38</f>
        <v>#REF!</v>
      </c>
      <c r="AQ38" s="72" t="s">
        <v>112</v>
      </c>
    </row>
    <row r="39" spans="1:43" x14ac:dyDescent="0.25">
      <c r="A39" s="5"/>
      <c r="B39" s="206" t="s">
        <v>48</v>
      </c>
      <c r="C39" s="207"/>
      <c r="D39" s="208"/>
      <c r="E39" s="209"/>
      <c r="F39" s="210"/>
      <c r="G39" s="195"/>
      <c r="H39" s="212"/>
      <c r="I39" s="223"/>
      <c r="J39" s="195"/>
      <c r="K39" s="212"/>
      <c r="L39" s="223"/>
      <c r="M39" s="195"/>
      <c r="N39" s="212"/>
      <c r="O39" s="223"/>
      <c r="P39" s="195"/>
      <c r="Q39" s="212"/>
      <c r="R39" s="223"/>
      <c r="S39" s="195"/>
      <c r="T39" s="212"/>
      <c r="U39" s="223"/>
      <c r="V39" s="195"/>
      <c r="W39" s="212"/>
      <c r="X39" s="223"/>
      <c r="Y39" s="195"/>
      <c r="Z39" s="212"/>
      <c r="AA39" s="223"/>
      <c r="AB39" s="195"/>
      <c r="AC39" s="212"/>
      <c r="AD39" s="223"/>
      <c r="AE39" s="195"/>
      <c r="AF39" s="212"/>
      <c r="AG39" s="223"/>
      <c r="AH39" s="195"/>
      <c r="AI39" s="212"/>
      <c r="AJ39" s="223"/>
      <c r="AK39" s="195"/>
      <c r="AL39" s="212"/>
      <c r="AM39" s="223"/>
      <c r="AN39" s="195"/>
      <c r="AO39" s="212"/>
      <c r="AP39" s="223"/>
      <c r="AQ39" s="72"/>
    </row>
    <row r="40" spans="1:43" x14ac:dyDescent="0.25">
      <c r="A40" s="5">
        <v>7.1</v>
      </c>
      <c r="B40" s="28" t="str">
        <f>'Itemised Rates - June 2021'!B14</f>
        <v>Dismantle and remove piping on surface to stockpile</v>
      </c>
      <c r="C40" s="24" t="s">
        <v>16</v>
      </c>
      <c r="D40" s="52">
        <f>9402.37-4500+2434</f>
        <v>7336.3700000000008</v>
      </c>
      <c r="E40" s="10">
        <f>'Itemised Rates - June 2021'!D14</f>
        <v>57.6</v>
      </c>
      <c r="F40" s="15">
        <f>D40*E40</f>
        <v>422574.91200000007</v>
      </c>
      <c r="G40" s="34">
        <f>D40-5000</f>
        <v>2336.3700000000008</v>
      </c>
      <c r="H40" s="4" t="e">
        <f>H38</f>
        <v>#REF!</v>
      </c>
      <c r="I40" s="15" t="e">
        <f>G40*H40</f>
        <v>#REF!</v>
      </c>
      <c r="J40" s="34">
        <f>G40</f>
        <v>2336.3700000000008</v>
      </c>
      <c r="K40" s="4" t="e">
        <f>K38</f>
        <v>#REF!</v>
      </c>
      <c r="L40" s="15" t="e">
        <f>J40*K40</f>
        <v>#REF!</v>
      </c>
      <c r="M40" s="34">
        <f>J40</f>
        <v>2336.3700000000008</v>
      </c>
      <c r="N40" s="4" t="e">
        <f>N38</f>
        <v>#REF!</v>
      </c>
      <c r="O40" s="15" t="e">
        <f>M40*N40</f>
        <v>#REF!</v>
      </c>
      <c r="P40" s="34">
        <f>M40</f>
        <v>2336.3700000000008</v>
      </c>
      <c r="Q40" s="4" t="e">
        <f>Q38</f>
        <v>#REF!</v>
      </c>
      <c r="R40" s="15" t="e">
        <f>P40*Q40</f>
        <v>#REF!</v>
      </c>
      <c r="S40" s="34">
        <f>P40</f>
        <v>2336.3700000000008</v>
      </c>
      <c r="T40" s="4" t="e">
        <f>T38</f>
        <v>#REF!</v>
      </c>
      <c r="U40" s="15" t="e">
        <f>S40*T40</f>
        <v>#REF!</v>
      </c>
      <c r="V40" s="34">
        <f>S40</f>
        <v>2336.3700000000008</v>
      </c>
      <c r="W40" s="4" t="e">
        <f>W38</f>
        <v>#REF!</v>
      </c>
      <c r="X40" s="15" t="e">
        <f>V40*W40</f>
        <v>#REF!</v>
      </c>
      <c r="Y40" s="34">
        <f>V40</f>
        <v>2336.3700000000008</v>
      </c>
      <c r="Z40" s="4" t="e">
        <f>Z38</f>
        <v>#REF!</v>
      </c>
      <c r="AA40" s="15" t="e">
        <f>Y40*Z40</f>
        <v>#REF!</v>
      </c>
      <c r="AB40" s="34">
        <f>Y40</f>
        <v>2336.3700000000008</v>
      </c>
      <c r="AC40" s="4" t="e">
        <f>AC38</f>
        <v>#REF!</v>
      </c>
      <c r="AD40" s="15" t="e">
        <f>AB40*AC40</f>
        <v>#REF!</v>
      </c>
      <c r="AE40" s="34">
        <f>AB40</f>
        <v>2336.3700000000008</v>
      </c>
      <c r="AF40" s="4" t="e">
        <f>AF38</f>
        <v>#REF!</v>
      </c>
      <c r="AG40" s="15" t="e">
        <f>AE40*AF40</f>
        <v>#REF!</v>
      </c>
      <c r="AH40" s="34">
        <f>AE40</f>
        <v>2336.3700000000008</v>
      </c>
      <c r="AI40" s="4">
        <f>E40</f>
        <v>57.6</v>
      </c>
      <c r="AJ40" s="15">
        <f>AH40*AI40</f>
        <v>134574.91200000004</v>
      </c>
      <c r="AK40" s="34">
        <f>AH40</f>
        <v>2336.3700000000008</v>
      </c>
      <c r="AL40" s="4" t="e">
        <f>AL38</f>
        <v>#REF!</v>
      </c>
      <c r="AM40" s="15" t="e">
        <f>AK40*AL40</f>
        <v>#REF!</v>
      </c>
      <c r="AN40" s="34">
        <f>AK40</f>
        <v>2336.3700000000008</v>
      </c>
      <c r="AO40" s="4" t="e">
        <f>AO38</f>
        <v>#REF!</v>
      </c>
      <c r="AP40" s="15" t="e">
        <f>AN40*AO40</f>
        <v>#REF!</v>
      </c>
      <c r="AQ40" s="72" t="s">
        <v>112</v>
      </c>
    </row>
    <row r="41" spans="1:43" x14ac:dyDescent="0.25">
      <c r="A41" s="2"/>
      <c r="B41" s="213" t="s">
        <v>44</v>
      </c>
      <c r="C41" s="214"/>
      <c r="D41" s="215"/>
      <c r="E41" s="217"/>
      <c r="F41" s="218"/>
      <c r="G41" s="228"/>
      <c r="H41" s="229"/>
      <c r="I41" s="230"/>
      <c r="J41" s="35"/>
      <c r="K41" s="36"/>
      <c r="L41" s="40"/>
      <c r="M41" s="35"/>
      <c r="N41" s="36"/>
      <c r="O41" s="40"/>
      <c r="P41" s="35"/>
      <c r="Q41" s="36"/>
      <c r="R41" s="40"/>
      <c r="S41" s="35"/>
      <c r="T41" s="36"/>
      <c r="U41" s="40"/>
      <c r="V41" s="35"/>
      <c r="W41" s="36"/>
      <c r="X41" s="40"/>
      <c r="Y41" s="35"/>
      <c r="Z41" s="36"/>
      <c r="AA41" s="40"/>
      <c r="AB41" s="35"/>
      <c r="AC41" s="36"/>
      <c r="AD41" s="40"/>
      <c r="AE41" s="35"/>
      <c r="AF41" s="36"/>
      <c r="AG41" s="40"/>
      <c r="AH41" s="35"/>
      <c r="AI41" s="36"/>
      <c r="AJ41" s="40"/>
      <c r="AK41" s="35"/>
      <c r="AL41" s="36"/>
      <c r="AM41" s="40"/>
      <c r="AN41" s="35"/>
      <c r="AO41" s="36"/>
      <c r="AP41" s="40"/>
      <c r="AQ41" s="72"/>
    </row>
    <row r="42" spans="1:43" x14ac:dyDescent="0.25">
      <c r="A42" s="5"/>
      <c r="B42" s="206" t="s">
        <v>52</v>
      </c>
      <c r="C42" s="207"/>
      <c r="D42" s="208"/>
      <c r="E42" s="209"/>
      <c r="F42" s="210"/>
      <c r="G42" s="195"/>
      <c r="H42" s="212"/>
      <c r="I42" s="223"/>
      <c r="J42" s="195"/>
      <c r="K42" s="212"/>
      <c r="L42" s="223"/>
      <c r="M42" s="195"/>
      <c r="N42" s="212"/>
      <c r="O42" s="223"/>
      <c r="P42" s="195"/>
      <c r="Q42" s="212"/>
      <c r="R42" s="223"/>
      <c r="S42" s="195"/>
      <c r="T42" s="212"/>
      <c r="U42" s="223"/>
      <c r="V42" s="195"/>
      <c r="W42" s="212"/>
      <c r="X42" s="223"/>
      <c r="Y42" s="195"/>
      <c r="Z42" s="212"/>
      <c r="AA42" s="223"/>
      <c r="AB42" s="195"/>
      <c r="AC42" s="212"/>
      <c r="AD42" s="223"/>
      <c r="AE42" s="195"/>
      <c r="AF42" s="212"/>
      <c r="AG42" s="223"/>
      <c r="AH42" s="195"/>
      <c r="AI42" s="212"/>
      <c r="AJ42" s="223"/>
      <c r="AK42" s="195"/>
      <c r="AL42" s="212"/>
      <c r="AM42" s="223"/>
      <c r="AN42" s="195"/>
      <c r="AO42" s="212"/>
      <c r="AP42" s="223"/>
      <c r="AQ42" s="72"/>
    </row>
    <row r="43" spans="1:43" x14ac:dyDescent="0.25">
      <c r="A43" s="5">
        <v>7.2</v>
      </c>
      <c r="B43" s="28" t="str">
        <f>'Itemised Rates - June 2021'!B15</f>
        <v>Dismantle and remove overhead powerlines to stockpile</v>
      </c>
      <c r="C43" s="24" t="s">
        <v>16</v>
      </c>
      <c r="D43" s="52">
        <f>11869-5000-1500</f>
        <v>5369</v>
      </c>
      <c r="E43" s="10">
        <f>'Itemised Rates - June 2021'!D15</f>
        <v>32.83</v>
      </c>
      <c r="F43" s="15">
        <f>D43*E43</f>
        <v>176264.27</v>
      </c>
      <c r="G43" s="34">
        <f>D43-5000</f>
        <v>369</v>
      </c>
      <c r="H43" s="4" t="e">
        <f>#REF!</f>
        <v>#REF!</v>
      </c>
      <c r="I43" s="15" t="e">
        <f>G43*H43</f>
        <v>#REF!</v>
      </c>
      <c r="J43" s="34">
        <f>G43</f>
        <v>369</v>
      </c>
      <c r="K43" s="4" t="e">
        <f>#REF!</f>
        <v>#REF!</v>
      </c>
      <c r="L43" s="15" t="e">
        <f>J43*K43</f>
        <v>#REF!</v>
      </c>
      <c r="M43" s="34">
        <f>J43</f>
        <v>369</v>
      </c>
      <c r="N43" s="4" t="e">
        <f>#REF!</f>
        <v>#REF!</v>
      </c>
      <c r="O43" s="15" t="e">
        <f>M43*N43</f>
        <v>#REF!</v>
      </c>
      <c r="P43" s="34">
        <f>M43</f>
        <v>369</v>
      </c>
      <c r="Q43" s="4" t="e">
        <f>#REF!</f>
        <v>#REF!</v>
      </c>
      <c r="R43" s="15" t="e">
        <f>P43*Q43</f>
        <v>#REF!</v>
      </c>
      <c r="S43" s="34">
        <f>P43</f>
        <v>369</v>
      </c>
      <c r="T43" s="4" t="e">
        <f>#REF!</f>
        <v>#REF!</v>
      </c>
      <c r="U43" s="15" t="e">
        <f>S43*T43</f>
        <v>#REF!</v>
      </c>
      <c r="V43" s="34">
        <f>S43</f>
        <v>369</v>
      </c>
      <c r="W43" s="4" t="e">
        <f>#REF!</f>
        <v>#REF!</v>
      </c>
      <c r="X43" s="15" t="e">
        <f>V43*W43</f>
        <v>#REF!</v>
      </c>
      <c r="Y43" s="34">
        <f>V43</f>
        <v>369</v>
      </c>
      <c r="Z43" s="4" t="e">
        <f>#REF!</f>
        <v>#REF!</v>
      </c>
      <c r="AA43" s="15" t="e">
        <f>Y43*Z43</f>
        <v>#REF!</v>
      </c>
      <c r="AB43" s="34">
        <f>Y43</f>
        <v>369</v>
      </c>
      <c r="AC43" s="4" t="e">
        <f>#REF!</f>
        <v>#REF!</v>
      </c>
      <c r="AD43" s="15" t="e">
        <f>AB43*AC43</f>
        <v>#REF!</v>
      </c>
      <c r="AE43" s="34">
        <f>AB43</f>
        <v>369</v>
      </c>
      <c r="AF43" s="4" t="e">
        <f>#REF!</f>
        <v>#REF!</v>
      </c>
      <c r="AG43" s="15" t="e">
        <f>AE43*AF43</f>
        <v>#REF!</v>
      </c>
      <c r="AH43" s="34">
        <f>AE43</f>
        <v>369</v>
      </c>
      <c r="AI43" s="4">
        <f>E43</f>
        <v>32.83</v>
      </c>
      <c r="AJ43" s="15">
        <f>AH43*AI43</f>
        <v>12114.269999999999</v>
      </c>
      <c r="AK43" s="34">
        <f>AH43</f>
        <v>369</v>
      </c>
      <c r="AL43" s="4" t="e">
        <f>#REF!</f>
        <v>#REF!</v>
      </c>
      <c r="AM43" s="15" t="e">
        <f>AK43*AL43</f>
        <v>#REF!</v>
      </c>
      <c r="AN43" s="34">
        <f>AK43</f>
        <v>369</v>
      </c>
      <c r="AO43" s="4" t="e">
        <f>#REF!</f>
        <v>#REF!</v>
      </c>
      <c r="AP43" s="15" t="e">
        <f>AN43*AO43</f>
        <v>#REF!</v>
      </c>
      <c r="AQ43" s="72" t="s">
        <v>112</v>
      </c>
    </row>
    <row r="44" spans="1:43" x14ac:dyDescent="0.25">
      <c r="A44" s="5">
        <v>7.4</v>
      </c>
      <c r="B44" s="28" t="str">
        <f>'Itemised Rates - June 2021'!B16</f>
        <v>Dismantle and remove communication lines on surface to stockpile</v>
      </c>
      <c r="C44" s="24" t="s">
        <v>16</v>
      </c>
      <c r="D44" s="52">
        <f>7125+510</f>
        <v>7635</v>
      </c>
      <c r="E44" s="10">
        <f>'Itemised Rates - June 2021'!D16</f>
        <v>32.83</v>
      </c>
      <c r="F44" s="15">
        <f t="shared" ref="F44" si="24">D44*E44</f>
        <v>250657.05</v>
      </c>
      <c r="G44" s="34">
        <f>D44</f>
        <v>7635</v>
      </c>
      <c r="H44" s="4" t="e">
        <f>#REF!</f>
        <v>#REF!</v>
      </c>
      <c r="I44" s="15" t="e">
        <f>G44*H44</f>
        <v>#REF!</v>
      </c>
      <c r="J44" s="34">
        <f>G44</f>
        <v>7635</v>
      </c>
      <c r="K44" s="4" t="e">
        <f>#REF!</f>
        <v>#REF!</v>
      </c>
      <c r="L44" s="15" t="e">
        <f>J44*K44</f>
        <v>#REF!</v>
      </c>
      <c r="M44" s="34">
        <f>J44</f>
        <v>7635</v>
      </c>
      <c r="N44" s="4" t="e">
        <f>#REF!</f>
        <v>#REF!</v>
      </c>
      <c r="O44" s="15" t="e">
        <f>M44*N44</f>
        <v>#REF!</v>
      </c>
      <c r="P44" s="34">
        <f>M44</f>
        <v>7635</v>
      </c>
      <c r="Q44" s="4" t="e">
        <f>#REF!</f>
        <v>#REF!</v>
      </c>
      <c r="R44" s="15" t="e">
        <f>P44*Q44</f>
        <v>#REF!</v>
      </c>
      <c r="S44" s="34">
        <f>P44</f>
        <v>7635</v>
      </c>
      <c r="T44" s="4" t="e">
        <f>#REF!</f>
        <v>#REF!</v>
      </c>
      <c r="U44" s="15" t="e">
        <f>S44*T44</f>
        <v>#REF!</v>
      </c>
      <c r="V44" s="34">
        <f>S44</f>
        <v>7635</v>
      </c>
      <c r="W44" s="4" t="e">
        <f>#REF!</f>
        <v>#REF!</v>
      </c>
      <c r="X44" s="15" t="e">
        <f>V44*W44</f>
        <v>#REF!</v>
      </c>
      <c r="Y44" s="34">
        <f>V44</f>
        <v>7635</v>
      </c>
      <c r="Z44" s="4" t="e">
        <f>#REF!</f>
        <v>#REF!</v>
      </c>
      <c r="AA44" s="15" t="e">
        <f>Y44*Z44</f>
        <v>#REF!</v>
      </c>
      <c r="AB44" s="34">
        <f>Y44</f>
        <v>7635</v>
      </c>
      <c r="AC44" s="4" t="e">
        <f>#REF!</f>
        <v>#REF!</v>
      </c>
      <c r="AD44" s="15" t="e">
        <f>AB44*AC44</f>
        <v>#REF!</v>
      </c>
      <c r="AE44" s="34">
        <f>AB44</f>
        <v>7635</v>
      </c>
      <c r="AF44" s="4" t="e">
        <f>#REF!</f>
        <v>#REF!</v>
      </c>
      <c r="AG44" s="15" t="e">
        <f>AE44*AF44</f>
        <v>#REF!</v>
      </c>
      <c r="AH44" s="34">
        <f>AE44</f>
        <v>7635</v>
      </c>
      <c r="AI44" s="4">
        <f>E44</f>
        <v>32.83</v>
      </c>
      <c r="AJ44" s="15">
        <f>AH44*AI44</f>
        <v>250657.05</v>
      </c>
      <c r="AK44" s="34">
        <f>AH44</f>
        <v>7635</v>
      </c>
      <c r="AL44" s="4" t="e">
        <f>#REF!</f>
        <v>#REF!</v>
      </c>
      <c r="AM44" s="15" t="e">
        <f>AK44*AL44</f>
        <v>#REF!</v>
      </c>
      <c r="AN44" s="34">
        <f>AK44</f>
        <v>7635</v>
      </c>
      <c r="AO44" s="4" t="e">
        <f>#REF!</f>
        <v>#REF!</v>
      </c>
      <c r="AP44" s="15" t="e">
        <f>AN44*AO44</f>
        <v>#REF!</v>
      </c>
      <c r="AQ44" s="72" t="s">
        <v>112</v>
      </c>
    </row>
    <row r="45" spans="1:43" x14ac:dyDescent="0.25">
      <c r="A45" s="2"/>
      <c r="B45" s="213" t="s">
        <v>18</v>
      </c>
      <c r="C45" s="214"/>
      <c r="D45" s="215"/>
      <c r="E45" s="217"/>
      <c r="F45" s="218"/>
      <c r="G45" s="228"/>
      <c r="H45" s="229"/>
      <c r="I45" s="230"/>
      <c r="J45" s="35"/>
      <c r="K45" s="36"/>
      <c r="L45" s="40"/>
      <c r="M45" s="35"/>
      <c r="N45" s="36"/>
      <c r="O45" s="40"/>
      <c r="P45" s="35"/>
      <c r="Q45" s="36"/>
      <c r="R45" s="40"/>
      <c r="S45" s="35"/>
      <c r="T45" s="36"/>
      <c r="U45" s="40"/>
      <c r="V45" s="35"/>
      <c r="W45" s="36"/>
      <c r="X45" s="40"/>
      <c r="Y45" s="35"/>
      <c r="Z45" s="36"/>
      <c r="AA45" s="40"/>
      <c r="AB45" s="35"/>
      <c r="AC45" s="36"/>
      <c r="AD45" s="40"/>
      <c r="AE45" s="35"/>
      <c r="AF45" s="36"/>
      <c r="AG45" s="40"/>
      <c r="AH45" s="35"/>
      <c r="AI45" s="36"/>
      <c r="AJ45" s="40"/>
      <c r="AK45" s="35"/>
      <c r="AL45" s="36"/>
      <c r="AM45" s="40"/>
      <c r="AN45" s="35"/>
      <c r="AO45" s="36"/>
      <c r="AP45" s="40"/>
      <c r="AQ45" s="72"/>
    </row>
    <row r="46" spans="1:43" x14ac:dyDescent="0.25">
      <c r="A46" s="5"/>
      <c r="B46" s="206" t="s">
        <v>52</v>
      </c>
      <c r="C46" s="207"/>
      <c r="D46" s="208"/>
      <c r="E46" s="209"/>
      <c r="F46" s="210"/>
      <c r="G46" s="195"/>
      <c r="H46" s="212"/>
      <c r="I46" s="223"/>
      <c r="J46" s="195"/>
      <c r="K46" s="212"/>
      <c r="L46" s="223"/>
      <c r="M46" s="195"/>
      <c r="N46" s="212"/>
      <c r="O46" s="223"/>
      <c r="P46" s="195"/>
      <c r="Q46" s="212"/>
      <c r="R46" s="223"/>
      <c r="S46" s="195"/>
      <c r="T46" s="212"/>
      <c r="U46" s="223"/>
      <c r="V46" s="195"/>
      <c r="W46" s="212"/>
      <c r="X46" s="223"/>
      <c r="Y46" s="195"/>
      <c r="Z46" s="212"/>
      <c r="AA46" s="223"/>
      <c r="AB46" s="195"/>
      <c r="AC46" s="212"/>
      <c r="AD46" s="223"/>
      <c r="AE46" s="195"/>
      <c r="AF46" s="212"/>
      <c r="AG46" s="223"/>
      <c r="AH46" s="195"/>
      <c r="AI46" s="212"/>
      <c r="AJ46" s="223"/>
      <c r="AK46" s="195"/>
      <c r="AL46" s="212"/>
      <c r="AM46" s="223"/>
      <c r="AN46" s="195"/>
      <c r="AO46" s="212"/>
      <c r="AP46" s="223"/>
      <c r="AQ46" s="72"/>
    </row>
    <row r="47" spans="1:43" x14ac:dyDescent="0.25">
      <c r="A47" s="5">
        <v>9.1</v>
      </c>
      <c r="B47" s="27" t="str">
        <f>'Itemised Rates - June 2021'!B22</f>
        <v>Removal of fences, cut to stockpile</v>
      </c>
      <c r="C47" s="24" t="s">
        <v>16</v>
      </c>
      <c r="D47" s="52">
        <f>55705+630</f>
        <v>56335</v>
      </c>
      <c r="E47" s="10">
        <f>'Itemised Rates - June 2021'!D22</f>
        <v>40.32</v>
      </c>
      <c r="F47" s="15">
        <f>D47*E47</f>
        <v>2271427.2000000002</v>
      </c>
      <c r="G47" s="34">
        <f>D47</f>
        <v>56335</v>
      </c>
      <c r="H47" s="4" t="e">
        <f>#REF!</f>
        <v>#REF!</v>
      </c>
      <c r="I47" s="15" t="e">
        <f>G47*H47</f>
        <v>#REF!</v>
      </c>
      <c r="J47" s="34">
        <f>G47</f>
        <v>56335</v>
      </c>
      <c r="K47" s="4" t="e">
        <f>#REF!</f>
        <v>#REF!</v>
      </c>
      <c r="L47" s="15" t="e">
        <f>J47*K47</f>
        <v>#REF!</v>
      </c>
      <c r="M47" s="34">
        <f>J47</f>
        <v>56335</v>
      </c>
      <c r="N47" s="4" t="e">
        <f>#REF!</f>
        <v>#REF!</v>
      </c>
      <c r="O47" s="15" t="e">
        <f>M47*N47</f>
        <v>#REF!</v>
      </c>
      <c r="P47" s="34">
        <f>M47</f>
        <v>56335</v>
      </c>
      <c r="Q47" s="4" t="e">
        <f>#REF!</f>
        <v>#REF!</v>
      </c>
      <c r="R47" s="15" t="e">
        <f>P47*Q47</f>
        <v>#REF!</v>
      </c>
      <c r="S47" s="34">
        <f>P47</f>
        <v>56335</v>
      </c>
      <c r="T47" s="4" t="e">
        <f>#REF!</f>
        <v>#REF!</v>
      </c>
      <c r="U47" s="15" t="e">
        <f>S47*T47</f>
        <v>#REF!</v>
      </c>
      <c r="V47" s="34">
        <f>S47</f>
        <v>56335</v>
      </c>
      <c r="W47" s="4" t="e">
        <f>#REF!</f>
        <v>#REF!</v>
      </c>
      <c r="X47" s="15" t="e">
        <f>V47*W47</f>
        <v>#REF!</v>
      </c>
      <c r="Y47" s="34">
        <f>V47</f>
        <v>56335</v>
      </c>
      <c r="Z47" s="4" t="e">
        <f>#REF!</f>
        <v>#REF!</v>
      </c>
      <c r="AA47" s="15" t="e">
        <f>Y47*Z47</f>
        <v>#REF!</v>
      </c>
      <c r="AB47" s="34">
        <f>Y47</f>
        <v>56335</v>
      </c>
      <c r="AC47" s="4" t="e">
        <f>#REF!</f>
        <v>#REF!</v>
      </c>
      <c r="AD47" s="15" t="e">
        <f>AB47*AC47</f>
        <v>#REF!</v>
      </c>
      <c r="AE47" s="34">
        <f>AB47</f>
        <v>56335</v>
      </c>
      <c r="AF47" s="4" t="e">
        <f>#REF!</f>
        <v>#REF!</v>
      </c>
      <c r="AG47" s="15" t="e">
        <f>AE47*AF47</f>
        <v>#REF!</v>
      </c>
      <c r="AH47" s="34">
        <f>AE47</f>
        <v>56335</v>
      </c>
      <c r="AI47" s="4">
        <f>E47</f>
        <v>40.32</v>
      </c>
      <c r="AJ47" s="15">
        <f>AH47*AI47</f>
        <v>2271427.2000000002</v>
      </c>
      <c r="AK47" s="34">
        <f>AH47</f>
        <v>56335</v>
      </c>
      <c r="AL47" s="4" t="e">
        <f>#REF!</f>
        <v>#REF!</v>
      </c>
      <c r="AM47" s="15" t="e">
        <f>AK47*AL47</f>
        <v>#REF!</v>
      </c>
      <c r="AN47" s="34">
        <f>AK47</f>
        <v>56335</v>
      </c>
      <c r="AO47" s="4" t="e">
        <f>#REF!</f>
        <v>#REF!</v>
      </c>
      <c r="AP47" s="15" t="e">
        <f>AN47*AO47</f>
        <v>#REF!</v>
      </c>
      <c r="AQ47" s="72" t="s">
        <v>112</v>
      </c>
    </row>
    <row r="48" spans="1:43" x14ac:dyDescent="0.25">
      <c r="A48" s="2"/>
      <c r="B48" s="213" t="s">
        <v>59</v>
      </c>
      <c r="C48" s="214"/>
      <c r="D48" s="215"/>
      <c r="E48" s="217"/>
      <c r="F48" s="218"/>
      <c r="G48" s="228"/>
      <c r="H48" s="229"/>
      <c r="I48" s="230"/>
      <c r="J48" s="35"/>
      <c r="K48" s="36"/>
      <c r="L48" s="40"/>
      <c r="M48" s="35"/>
      <c r="N48" s="36"/>
      <c r="O48" s="40"/>
      <c r="P48" s="35"/>
      <c r="Q48" s="36"/>
      <c r="R48" s="40"/>
      <c r="S48" s="35"/>
      <c r="T48" s="36"/>
      <c r="U48" s="40"/>
      <c r="V48" s="35"/>
      <c r="W48" s="36"/>
      <c r="X48" s="40"/>
      <c r="Y48" s="35"/>
      <c r="Z48" s="36"/>
      <c r="AA48" s="40"/>
      <c r="AB48" s="35"/>
      <c r="AC48" s="36"/>
      <c r="AD48" s="40"/>
      <c r="AE48" s="35"/>
      <c r="AF48" s="36"/>
      <c r="AG48" s="40"/>
      <c r="AH48" s="35"/>
      <c r="AI48" s="36"/>
      <c r="AJ48" s="40"/>
      <c r="AK48" s="35"/>
      <c r="AL48" s="36"/>
      <c r="AM48" s="40"/>
      <c r="AN48" s="35"/>
      <c r="AO48" s="36"/>
      <c r="AP48" s="40"/>
      <c r="AQ48" s="72"/>
    </row>
    <row r="49" spans="1:43" x14ac:dyDescent="0.25">
      <c r="A49" s="5"/>
      <c r="B49" s="206" t="s">
        <v>52</v>
      </c>
      <c r="C49" s="207"/>
      <c r="D49" s="208"/>
      <c r="E49" s="209"/>
      <c r="F49" s="210"/>
      <c r="G49" s="195"/>
      <c r="H49" s="212"/>
      <c r="I49" s="223"/>
      <c r="J49" s="195"/>
      <c r="K49" s="212"/>
      <c r="L49" s="223"/>
      <c r="M49" s="195"/>
      <c r="N49" s="212"/>
      <c r="O49" s="223"/>
      <c r="P49" s="195"/>
      <c r="Q49" s="212"/>
      <c r="R49" s="223"/>
      <c r="S49" s="195"/>
      <c r="T49" s="212"/>
      <c r="U49" s="223"/>
      <c r="V49" s="195"/>
      <c r="W49" s="212"/>
      <c r="X49" s="223"/>
      <c r="Y49" s="195"/>
      <c r="Z49" s="212"/>
      <c r="AA49" s="223"/>
      <c r="AB49" s="195"/>
      <c r="AC49" s="212"/>
      <c r="AD49" s="223"/>
      <c r="AE49" s="195"/>
      <c r="AF49" s="212"/>
      <c r="AG49" s="223"/>
      <c r="AH49" s="195"/>
      <c r="AI49" s="212"/>
      <c r="AJ49" s="223"/>
      <c r="AK49" s="195"/>
      <c r="AL49" s="212"/>
      <c r="AM49" s="223"/>
      <c r="AN49" s="195"/>
      <c r="AO49" s="212"/>
      <c r="AP49" s="223"/>
      <c r="AQ49" s="72"/>
    </row>
    <row r="50" spans="1:43" x14ac:dyDescent="0.25">
      <c r="A50" s="5">
        <v>11.1</v>
      </c>
      <c r="B50" s="27" t="str">
        <f>'Itemised Rates - June 2021'!B26</f>
        <v>Cut casing and cap borehole</v>
      </c>
      <c r="C50" s="24" t="s">
        <v>29</v>
      </c>
      <c r="D50" s="52">
        <f>51-20-10</f>
        <v>21</v>
      </c>
      <c r="E50" s="10">
        <f>'Itemised Rates - June 2021'!D26</f>
        <v>3455.82</v>
      </c>
      <c r="F50" s="15">
        <f>D50*E50</f>
        <v>72572.22</v>
      </c>
      <c r="G50" s="34">
        <f>D50-20</f>
        <v>1</v>
      </c>
      <c r="H50" s="4" t="e">
        <f>#REF!</f>
        <v>#REF!</v>
      </c>
      <c r="I50" s="15" t="e">
        <f>G50*H50</f>
        <v>#REF!</v>
      </c>
      <c r="J50" s="34">
        <f>G50</f>
        <v>1</v>
      </c>
      <c r="K50" s="4" t="e">
        <f>#REF!</f>
        <v>#REF!</v>
      </c>
      <c r="L50" s="15" t="e">
        <f>J50*K50</f>
        <v>#REF!</v>
      </c>
      <c r="M50" s="34">
        <f>J50</f>
        <v>1</v>
      </c>
      <c r="N50" s="4" t="e">
        <f>#REF!</f>
        <v>#REF!</v>
      </c>
      <c r="O50" s="15" t="e">
        <f>M50*N50</f>
        <v>#REF!</v>
      </c>
      <c r="P50" s="34">
        <f>M50</f>
        <v>1</v>
      </c>
      <c r="Q50" s="4" t="e">
        <f>#REF!</f>
        <v>#REF!</v>
      </c>
      <c r="R50" s="15" t="e">
        <f>P50*Q50</f>
        <v>#REF!</v>
      </c>
      <c r="S50" s="34">
        <f>P50</f>
        <v>1</v>
      </c>
      <c r="T50" s="4" t="e">
        <f>#REF!</f>
        <v>#REF!</v>
      </c>
      <c r="U50" s="15" t="e">
        <f>S50*T50</f>
        <v>#REF!</v>
      </c>
      <c r="V50" s="34">
        <f>S50</f>
        <v>1</v>
      </c>
      <c r="W50" s="4" t="e">
        <f>#REF!</f>
        <v>#REF!</v>
      </c>
      <c r="X50" s="15" t="e">
        <f>V50*W50</f>
        <v>#REF!</v>
      </c>
      <c r="Y50" s="34">
        <f>V50</f>
        <v>1</v>
      </c>
      <c r="Z50" s="4" t="e">
        <f>#REF!</f>
        <v>#REF!</v>
      </c>
      <c r="AA50" s="15" t="e">
        <f>Y50*Z50</f>
        <v>#REF!</v>
      </c>
      <c r="AB50" s="34">
        <f>Y50</f>
        <v>1</v>
      </c>
      <c r="AC50" s="4" t="e">
        <f>#REF!</f>
        <v>#REF!</v>
      </c>
      <c r="AD50" s="15" t="e">
        <f>AB50*AC50</f>
        <v>#REF!</v>
      </c>
      <c r="AE50" s="34">
        <f>AB50</f>
        <v>1</v>
      </c>
      <c r="AF50" s="4" t="e">
        <f>#REF!</f>
        <v>#REF!</v>
      </c>
      <c r="AG50" s="15" t="e">
        <f>AE50*AF50</f>
        <v>#REF!</v>
      </c>
      <c r="AH50" s="34">
        <f>AE50</f>
        <v>1</v>
      </c>
      <c r="AI50" s="4">
        <f>E50</f>
        <v>3455.82</v>
      </c>
      <c r="AJ50" s="15">
        <f>AH50*AI50</f>
        <v>3455.82</v>
      </c>
      <c r="AK50" s="34">
        <f>AH50</f>
        <v>1</v>
      </c>
      <c r="AL50" s="4" t="e">
        <f>#REF!</f>
        <v>#REF!</v>
      </c>
      <c r="AM50" s="15" t="e">
        <f>AK50*AL50</f>
        <v>#REF!</v>
      </c>
      <c r="AN50" s="34">
        <f>AK50</f>
        <v>1</v>
      </c>
      <c r="AO50" s="4" t="e">
        <f>#REF!</f>
        <v>#REF!</v>
      </c>
      <c r="AP50" s="15" t="e">
        <f>AN50*AO50</f>
        <v>#REF!</v>
      </c>
      <c r="AQ50" s="72" t="s">
        <v>112</v>
      </c>
    </row>
    <row r="51" spans="1:43" x14ac:dyDescent="0.25">
      <c r="A51" s="2"/>
      <c r="B51" s="213" t="s">
        <v>51</v>
      </c>
      <c r="C51" s="214"/>
      <c r="D51" s="215"/>
      <c r="E51" s="217"/>
      <c r="F51" s="218"/>
      <c r="G51" s="228"/>
      <c r="H51" s="229"/>
      <c r="I51" s="230"/>
      <c r="J51" s="35"/>
      <c r="K51" s="36"/>
      <c r="L51" s="40"/>
      <c r="M51" s="35"/>
      <c r="N51" s="36"/>
      <c r="O51" s="40"/>
      <c r="P51" s="35"/>
      <c r="Q51" s="36"/>
      <c r="R51" s="40"/>
      <c r="S51" s="35"/>
      <c r="T51" s="36"/>
      <c r="U51" s="40"/>
      <c r="V51" s="35"/>
      <c r="W51" s="36"/>
      <c r="X51" s="40"/>
      <c r="Y51" s="35"/>
      <c r="Z51" s="36"/>
      <c r="AA51" s="40"/>
      <c r="AB51" s="35"/>
      <c r="AC51" s="36"/>
      <c r="AD51" s="40"/>
      <c r="AE51" s="35"/>
      <c r="AF51" s="36"/>
      <c r="AG51" s="40"/>
      <c r="AH51" s="35"/>
      <c r="AI51" s="36"/>
      <c r="AJ51" s="40"/>
      <c r="AK51" s="35"/>
      <c r="AL51" s="36"/>
      <c r="AM51" s="40"/>
      <c r="AN51" s="35"/>
      <c r="AO51" s="36"/>
      <c r="AP51" s="40"/>
      <c r="AQ51" s="72"/>
    </row>
    <row r="52" spans="1:43" x14ac:dyDescent="0.25">
      <c r="A52" s="5"/>
      <c r="B52" s="206" t="s">
        <v>60</v>
      </c>
      <c r="C52" s="207"/>
      <c r="D52" s="208"/>
      <c r="E52" s="209"/>
      <c r="F52" s="210"/>
      <c r="G52" s="195"/>
      <c r="H52" s="212"/>
      <c r="I52" s="223"/>
      <c r="J52" s="195"/>
      <c r="K52" s="212"/>
      <c r="L52" s="223"/>
      <c r="M52" s="195"/>
      <c r="N52" s="212"/>
      <c r="O52" s="223"/>
      <c r="P52" s="195"/>
      <c r="Q52" s="212"/>
      <c r="R52" s="223"/>
      <c r="S52" s="195"/>
      <c r="T52" s="212"/>
      <c r="U52" s="223"/>
      <c r="V52" s="195"/>
      <c r="W52" s="212"/>
      <c r="X52" s="223"/>
      <c r="Y52" s="195"/>
      <c r="Z52" s="212"/>
      <c r="AA52" s="223"/>
      <c r="AB52" s="195"/>
      <c r="AC52" s="212"/>
      <c r="AD52" s="223"/>
      <c r="AE52" s="195"/>
      <c r="AF52" s="212"/>
      <c r="AG52" s="223"/>
      <c r="AH52" s="195"/>
      <c r="AI52" s="212"/>
      <c r="AJ52" s="223"/>
      <c r="AK52" s="195"/>
      <c r="AL52" s="212"/>
      <c r="AM52" s="223"/>
      <c r="AN52" s="195"/>
      <c r="AO52" s="212"/>
      <c r="AP52" s="223"/>
      <c r="AQ52" s="72"/>
    </row>
    <row r="53" spans="1:43" x14ac:dyDescent="0.25">
      <c r="A53" s="5"/>
      <c r="B53" s="206" t="s">
        <v>47</v>
      </c>
      <c r="C53" s="207"/>
      <c r="D53" s="208"/>
      <c r="E53" s="209"/>
      <c r="F53" s="210"/>
      <c r="G53" s="195"/>
      <c r="H53" s="212"/>
      <c r="I53" s="223"/>
      <c r="J53" s="195"/>
      <c r="K53" s="212"/>
      <c r="L53" s="223"/>
      <c r="M53" s="195"/>
      <c r="N53" s="212"/>
      <c r="O53" s="223"/>
      <c r="P53" s="195"/>
      <c r="Q53" s="212"/>
      <c r="R53" s="223"/>
      <c r="S53" s="195"/>
      <c r="T53" s="212"/>
      <c r="U53" s="223"/>
      <c r="V53" s="195"/>
      <c r="W53" s="212"/>
      <c r="X53" s="223"/>
      <c r="Y53" s="195"/>
      <c r="Z53" s="212"/>
      <c r="AA53" s="223"/>
      <c r="AB53" s="195"/>
      <c r="AC53" s="212"/>
      <c r="AD53" s="223"/>
      <c r="AE53" s="195"/>
      <c r="AF53" s="212"/>
      <c r="AG53" s="223"/>
      <c r="AH53" s="195"/>
      <c r="AI53" s="212"/>
      <c r="AJ53" s="223"/>
      <c r="AK53" s="195"/>
      <c r="AL53" s="212"/>
      <c r="AM53" s="223"/>
      <c r="AN53" s="195"/>
      <c r="AO53" s="212"/>
      <c r="AP53" s="223"/>
      <c r="AQ53" s="72"/>
    </row>
    <row r="54" spans="1:43" x14ac:dyDescent="0.25">
      <c r="A54" s="5">
        <v>14.4</v>
      </c>
      <c r="B54" s="26" t="s">
        <v>128</v>
      </c>
      <c r="C54" s="54" t="s">
        <v>16</v>
      </c>
      <c r="D54" s="52">
        <v>825</v>
      </c>
      <c r="E54" s="10">
        <f>'Itemised Rates - June 2021'!D31</f>
        <v>354.8</v>
      </c>
      <c r="F54" s="15">
        <f>D54*E54</f>
        <v>292710</v>
      </c>
      <c r="G54" s="34">
        <v>0</v>
      </c>
      <c r="H54" s="4" t="e">
        <f>#REF!</f>
        <v>#REF!</v>
      </c>
      <c r="I54" s="15" t="e">
        <f>G54*H54</f>
        <v>#REF!</v>
      </c>
      <c r="J54" s="34">
        <f>G54</f>
        <v>0</v>
      </c>
      <c r="K54" s="4" t="e">
        <f>#REF!</f>
        <v>#REF!</v>
      </c>
      <c r="L54" s="15" t="e">
        <f>J54*K54</f>
        <v>#REF!</v>
      </c>
      <c r="M54" s="34">
        <f>J54</f>
        <v>0</v>
      </c>
      <c r="N54" s="4" t="e">
        <f>#REF!</f>
        <v>#REF!</v>
      </c>
      <c r="O54" s="15" t="e">
        <f>M54*N54</f>
        <v>#REF!</v>
      </c>
      <c r="P54" s="34">
        <f>M54</f>
        <v>0</v>
      </c>
      <c r="Q54" s="4" t="e">
        <f>#REF!</f>
        <v>#REF!</v>
      </c>
      <c r="R54" s="15" t="e">
        <f>P54*Q54</f>
        <v>#REF!</v>
      </c>
      <c r="S54" s="34">
        <f>P54</f>
        <v>0</v>
      </c>
      <c r="T54" s="4" t="e">
        <f>#REF!</f>
        <v>#REF!</v>
      </c>
      <c r="U54" s="15" t="e">
        <f>S54*T54</f>
        <v>#REF!</v>
      </c>
      <c r="V54" s="34">
        <f>S54</f>
        <v>0</v>
      </c>
      <c r="W54" s="4" t="e">
        <f>#REF!</f>
        <v>#REF!</v>
      </c>
      <c r="X54" s="15" t="e">
        <f>V54*W54</f>
        <v>#REF!</v>
      </c>
      <c r="Y54" s="34">
        <f>V54</f>
        <v>0</v>
      </c>
      <c r="Z54" s="4" t="e">
        <f>#REF!</f>
        <v>#REF!</v>
      </c>
      <c r="AA54" s="15" t="e">
        <f>Y54*Z54</f>
        <v>#REF!</v>
      </c>
      <c r="AB54" s="34">
        <f>Y54</f>
        <v>0</v>
      </c>
      <c r="AC54" s="4" t="e">
        <f>#REF!</f>
        <v>#REF!</v>
      </c>
      <c r="AD54" s="15" t="e">
        <f>AB54*AC54</f>
        <v>#REF!</v>
      </c>
      <c r="AE54" s="34">
        <f>AB54</f>
        <v>0</v>
      </c>
      <c r="AF54" s="4" t="e">
        <f>#REF!</f>
        <v>#REF!</v>
      </c>
      <c r="AG54" s="15" t="e">
        <f>AE54*AF54</f>
        <v>#REF!</v>
      </c>
      <c r="AH54" s="34">
        <f>AE54</f>
        <v>0</v>
      </c>
      <c r="AI54" s="4">
        <f>E54</f>
        <v>354.8</v>
      </c>
      <c r="AJ54" s="15">
        <f>AH54*AI54</f>
        <v>0</v>
      </c>
      <c r="AK54" s="34">
        <f>AH54</f>
        <v>0</v>
      </c>
      <c r="AL54" s="4" t="e">
        <f>#REF!</f>
        <v>#REF!</v>
      </c>
      <c r="AM54" s="15" t="e">
        <f>AK54*AL54</f>
        <v>#REF!</v>
      </c>
      <c r="AN54" s="34">
        <f>AK54</f>
        <v>0</v>
      </c>
      <c r="AO54" s="4" t="e">
        <f>#REF!</f>
        <v>#REF!</v>
      </c>
      <c r="AP54" s="15" t="e">
        <f>AN54*AO54</f>
        <v>#REF!</v>
      </c>
      <c r="AQ54" s="72" t="s">
        <v>113</v>
      </c>
    </row>
    <row r="55" spans="1:43" x14ac:dyDescent="0.25">
      <c r="A55" s="5">
        <v>14.4</v>
      </c>
      <c r="B55" s="26" t="s">
        <v>129</v>
      </c>
      <c r="C55" s="54" t="s">
        <v>16</v>
      </c>
      <c r="D55" s="52">
        <v>465</v>
      </c>
      <c r="E55" s="10">
        <f>'Itemised Rates - June 2021'!D31</f>
        <v>354.8</v>
      </c>
      <c r="F55" s="15">
        <f t="shared" ref="F55:F62" si="25">D55*E55</f>
        <v>164982</v>
      </c>
      <c r="G55" s="34">
        <f>D55</f>
        <v>465</v>
      </c>
      <c r="H55" s="4" t="e">
        <f>H54</f>
        <v>#REF!</v>
      </c>
      <c r="I55" s="15" t="e">
        <f t="shared" ref="I55:I62" si="26">G55*H55</f>
        <v>#REF!</v>
      </c>
      <c r="J55" s="34">
        <f>G55</f>
        <v>465</v>
      </c>
      <c r="K55" s="4" t="e">
        <f>K54</f>
        <v>#REF!</v>
      </c>
      <c r="L55" s="15" t="e">
        <f t="shared" ref="L55:L70" si="27">J55*K55</f>
        <v>#REF!</v>
      </c>
      <c r="M55" s="34">
        <f>J55</f>
        <v>465</v>
      </c>
      <c r="N55" s="4" t="e">
        <f>N54</f>
        <v>#REF!</v>
      </c>
      <c r="O55" s="15" t="e">
        <f t="shared" ref="O55:O62" si="28">M55*N55</f>
        <v>#REF!</v>
      </c>
      <c r="P55" s="34">
        <f>M55</f>
        <v>465</v>
      </c>
      <c r="Q55" s="4" t="e">
        <f>Q54</f>
        <v>#REF!</v>
      </c>
      <c r="R55" s="15" t="e">
        <f t="shared" ref="R55:R62" si="29">P55*Q55</f>
        <v>#REF!</v>
      </c>
      <c r="S55" s="34">
        <f>P55</f>
        <v>465</v>
      </c>
      <c r="T55" s="4" t="e">
        <f>T54</f>
        <v>#REF!</v>
      </c>
      <c r="U55" s="15" t="e">
        <f t="shared" ref="U55:U62" si="30">S55*T55</f>
        <v>#REF!</v>
      </c>
      <c r="V55" s="34">
        <f>S55</f>
        <v>465</v>
      </c>
      <c r="W55" s="4" t="e">
        <f>W54</f>
        <v>#REF!</v>
      </c>
      <c r="X55" s="15" t="e">
        <f t="shared" ref="X55:X62" si="31">V55*W55</f>
        <v>#REF!</v>
      </c>
      <c r="Y55" s="34">
        <f>V55</f>
        <v>465</v>
      </c>
      <c r="Z55" s="4" t="e">
        <f>Z54</f>
        <v>#REF!</v>
      </c>
      <c r="AA55" s="15" t="e">
        <f t="shared" ref="AA55:AA62" si="32">Y55*Z55</f>
        <v>#REF!</v>
      </c>
      <c r="AB55" s="34">
        <f>Y55</f>
        <v>465</v>
      </c>
      <c r="AC55" s="4" t="e">
        <f>AC54</f>
        <v>#REF!</v>
      </c>
      <c r="AD55" s="15" t="e">
        <f t="shared" ref="AD55:AD62" si="33">AB55*AC55</f>
        <v>#REF!</v>
      </c>
      <c r="AE55" s="34">
        <f>AB55</f>
        <v>465</v>
      </c>
      <c r="AF55" s="4" t="e">
        <f>AF54</f>
        <v>#REF!</v>
      </c>
      <c r="AG55" s="15" t="e">
        <f t="shared" ref="AG55:AG62" si="34">AE55*AF55</f>
        <v>#REF!</v>
      </c>
      <c r="AH55" s="34">
        <f>AE55</f>
        <v>465</v>
      </c>
      <c r="AI55" s="4">
        <f>AI54</f>
        <v>354.8</v>
      </c>
      <c r="AJ55" s="15">
        <f t="shared" ref="AJ55:AJ62" si="35">AH55*AI55</f>
        <v>164982</v>
      </c>
      <c r="AK55" s="34">
        <f>AH55</f>
        <v>465</v>
      </c>
      <c r="AL55" s="4" t="e">
        <f>AL54</f>
        <v>#REF!</v>
      </c>
      <c r="AM55" s="15" t="e">
        <f t="shared" ref="AM55:AM62" si="36">AK55*AL55</f>
        <v>#REF!</v>
      </c>
      <c r="AN55" s="34">
        <f>AK55</f>
        <v>465</v>
      </c>
      <c r="AO55" s="4" t="e">
        <f>AO54</f>
        <v>#REF!</v>
      </c>
      <c r="AP55" s="15" t="e">
        <f t="shared" ref="AP55:AP62" si="37">AN55*AO55</f>
        <v>#REF!</v>
      </c>
      <c r="AQ55" s="72" t="s">
        <v>113</v>
      </c>
    </row>
    <row r="56" spans="1:43" x14ac:dyDescent="0.25">
      <c r="A56" s="5">
        <v>14.4</v>
      </c>
      <c r="B56" s="26" t="s">
        <v>130</v>
      </c>
      <c r="C56" s="54" t="s">
        <v>16</v>
      </c>
      <c r="D56" s="52">
        <v>985</v>
      </c>
      <c r="E56" s="10">
        <f>'Itemised Rates - June 2021'!D31</f>
        <v>354.8</v>
      </c>
      <c r="F56" s="15">
        <f t="shared" si="25"/>
        <v>349478</v>
      </c>
      <c r="G56" s="34">
        <f>D56</f>
        <v>985</v>
      </c>
      <c r="H56" s="4" t="e">
        <f>H54</f>
        <v>#REF!</v>
      </c>
      <c r="I56" s="15" t="e">
        <f t="shared" si="26"/>
        <v>#REF!</v>
      </c>
      <c r="J56" s="34">
        <f>G56</f>
        <v>985</v>
      </c>
      <c r="K56" s="4" t="e">
        <f>K54</f>
        <v>#REF!</v>
      </c>
      <c r="L56" s="15" t="e">
        <f t="shared" si="27"/>
        <v>#REF!</v>
      </c>
      <c r="M56" s="34">
        <f>J56</f>
        <v>985</v>
      </c>
      <c r="N56" s="4" t="e">
        <f>N54</f>
        <v>#REF!</v>
      </c>
      <c r="O56" s="15" t="e">
        <f t="shared" si="28"/>
        <v>#REF!</v>
      </c>
      <c r="P56" s="34">
        <f>M56</f>
        <v>985</v>
      </c>
      <c r="Q56" s="4" t="e">
        <f>Q54</f>
        <v>#REF!</v>
      </c>
      <c r="R56" s="15" t="e">
        <f t="shared" si="29"/>
        <v>#REF!</v>
      </c>
      <c r="S56" s="34">
        <f>P56</f>
        <v>985</v>
      </c>
      <c r="T56" s="4" t="e">
        <f>T54</f>
        <v>#REF!</v>
      </c>
      <c r="U56" s="15" t="e">
        <f t="shared" si="30"/>
        <v>#REF!</v>
      </c>
      <c r="V56" s="34">
        <f>S56</f>
        <v>985</v>
      </c>
      <c r="W56" s="4" t="e">
        <f>W54</f>
        <v>#REF!</v>
      </c>
      <c r="X56" s="15" t="e">
        <f t="shared" si="31"/>
        <v>#REF!</v>
      </c>
      <c r="Y56" s="34">
        <f>V56</f>
        <v>985</v>
      </c>
      <c r="Z56" s="4" t="e">
        <f>Z54</f>
        <v>#REF!</v>
      </c>
      <c r="AA56" s="15" t="e">
        <f t="shared" si="32"/>
        <v>#REF!</v>
      </c>
      <c r="AB56" s="34">
        <f>Y56</f>
        <v>985</v>
      </c>
      <c r="AC56" s="4" t="e">
        <f>AC54</f>
        <v>#REF!</v>
      </c>
      <c r="AD56" s="15" t="e">
        <f t="shared" si="33"/>
        <v>#REF!</v>
      </c>
      <c r="AE56" s="34">
        <f>AB56</f>
        <v>985</v>
      </c>
      <c r="AF56" s="4" t="e">
        <f>AF54</f>
        <v>#REF!</v>
      </c>
      <c r="AG56" s="15" t="e">
        <f t="shared" si="34"/>
        <v>#REF!</v>
      </c>
      <c r="AH56" s="34">
        <f>AE56</f>
        <v>985</v>
      </c>
      <c r="AI56" s="4">
        <f>AI54</f>
        <v>354.8</v>
      </c>
      <c r="AJ56" s="15">
        <f t="shared" si="35"/>
        <v>349478</v>
      </c>
      <c r="AK56" s="34">
        <f>AH56</f>
        <v>985</v>
      </c>
      <c r="AL56" s="4" t="e">
        <f>AL54</f>
        <v>#REF!</v>
      </c>
      <c r="AM56" s="15" t="e">
        <f t="shared" si="36"/>
        <v>#REF!</v>
      </c>
      <c r="AN56" s="34">
        <f>AK56</f>
        <v>985</v>
      </c>
      <c r="AO56" s="4" t="e">
        <f>AO54</f>
        <v>#REF!</v>
      </c>
      <c r="AP56" s="15" t="e">
        <f t="shared" si="37"/>
        <v>#REF!</v>
      </c>
      <c r="AQ56" s="72" t="s">
        <v>113</v>
      </c>
    </row>
    <row r="57" spans="1:43" x14ac:dyDescent="0.25">
      <c r="A57" s="5">
        <v>14.4</v>
      </c>
      <c r="B57" s="86" t="s">
        <v>146</v>
      </c>
      <c r="C57" s="54" t="s">
        <v>16</v>
      </c>
      <c r="D57" s="52">
        <v>3596</v>
      </c>
      <c r="E57" s="10">
        <f>'Itemised Rates - June 2021'!D31</f>
        <v>354.8</v>
      </c>
      <c r="F57" s="15">
        <f t="shared" si="25"/>
        <v>1275860.8</v>
      </c>
      <c r="G57" s="34">
        <f>D57</f>
        <v>3596</v>
      </c>
      <c r="H57" s="4" t="e">
        <f>H54</f>
        <v>#REF!</v>
      </c>
      <c r="I57" s="15" t="e">
        <f t="shared" si="26"/>
        <v>#REF!</v>
      </c>
      <c r="J57" s="34">
        <f>G57</f>
        <v>3596</v>
      </c>
      <c r="K57" s="4" t="e">
        <f>K54</f>
        <v>#REF!</v>
      </c>
      <c r="L57" s="15" t="e">
        <f t="shared" si="27"/>
        <v>#REF!</v>
      </c>
      <c r="M57" s="34">
        <f>J57</f>
        <v>3596</v>
      </c>
      <c r="N57" s="4" t="e">
        <f>N54</f>
        <v>#REF!</v>
      </c>
      <c r="O57" s="15" t="e">
        <f t="shared" si="28"/>
        <v>#REF!</v>
      </c>
      <c r="P57" s="34">
        <f>M57</f>
        <v>3596</v>
      </c>
      <c r="Q57" s="4" t="e">
        <f>Q54</f>
        <v>#REF!</v>
      </c>
      <c r="R57" s="15" t="e">
        <f t="shared" si="29"/>
        <v>#REF!</v>
      </c>
      <c r="S57" s="34">
        <f>P57</f>
        <v>3596</v>
      </c>
      <c r="T57" s="4" t="e">
        <f>T54</f>
        <v>#REF!</v>
      </c>
      <c r="U57" s="15" t="e">
        <f t="shared" si="30"/>
        <v>#REF!</v>
      </c>
      <c r="V57" s="34">
        <f>S57</f>
        <v>3596</v>
      </c>
      <c r="W57" s="4" t="e">
        <f>W54</f>
        <v>#REF!</v>
      </c>
      <c r="X57" s="15" t="e">
        <f t="shared" si="31"/>
        <v>#REF!</v>
      </c>
      <c r="Y57" s="34">
        <f>V57</f>
        <v>3596</v>
      </c>
      <c r="Z57" s="4" t="e">
        <f>Z54</f>
        <v>#REF!</v>
      </c>
      <c r="AA57" s="15" t="e">
        <f t="shared" si="32"/>
        <v>#REF!</v>
      </c>
      <c r="AB57" s="34">
        <f>Y57</f>
        <v>3596</v>
      </c>
      <c r="AC57" s="4" t="e">
        <f>AC54</f>
        <v>#REF!</v>
      </c>
      <c r="AD57" s="15" t="e">
        <f t="shared" si="33"/>
        <v>#REF!</v>
      </c>
      <c r="AE57" s="34">
        <f>AB57</f>
        <v>3596</v>
      </c>
      <c r="AF57" s="4" t="e">
        <f>AF54</f>
        <v>#REF!</v>
      </c>
      <c r="AG57" s="15" t="e">
        <f t="shared" si="34"/>
        <v>#REF!</v>
      </c>
      <c r="AH57" s="34">
        <f>AE57</f>
        <v>3596</v>
      </c>
      <c r="AI57" s="4">
        <f>AI54</f>
        <v>354.8</v>
      </c>
      <c r="AJ57" s="15">
        <f t="shared" si="35"/>
        <v>1275860.8</v>
      </c>
      <c r="AK57" s="34">
        <f>AH57</f>
        <v>3596</v>
      </c>
      <c r="AL57" s="4" t="e">
        <f>AL54</f>
        <v>#REF!</v>
      </c>
      <c r="AM57" s="15" t="e">
        <f t="shared" si="36"/>
        <v>#REF!</v>
      </c>
      <c r="AN57" s="34">
        <f>AK57</f>
        <v>3596</v>
      </c>
      <c r="AO57" s="4" t="e">
        <f>AO54</f>
        <v>#REF!</v>
      </c>
      <c r="AP57" s="15" t="e">
        <f t="shared" si="37"/>
        <v>#REF!</v>
      </c>
      <c r="AQ57" s="72" t="s">
        <v>113</v>
      </c>
    </row>
    <row r="58" spans="1:43" x14ac:dyDescent="0.25">
      <c r="A58" s="5"/>
      <c r="B58" s="206" t="s">
        <v>48</v>
      </c>
      <c r="C58" s="207"/>
      <c r="D58" s="208"/>
      <c r="E58" s="209"/>
      <c r="F58" s="210"/>
      <c r="G58" s="34"/>
      <c r="H58" s="4"/>
      <c r="I58" s="15"/>
      <c r="J58" s="34"/>
      <c r="K58" s="4"/>
      <c r="L58" s="15"/>
      <c r="M58" s="34"/>
      <c r="N58" s="4"/>
      <c r="O58" s="15"/>
      <c r="P58" s="34"/>
      <c r="Q58" s="4"/>
      <c r="R58" s="15"/>
      <c r="S58" s="34"/>
      <c r="T58" s="4"/>
      <c r="U58" s="15"/>
      <c r="V58" s="34"/>
      <c r="W58" s="4"/>
      <c r="X58" s="15"/>
      <c r="Y58" s="34"/>
      <c r="Z58" s="4"/>
      <c r="AA58" s="15"/>
      <c r="AB58" s="34"/>
      <c r="AC58" s="4"/>
      <c r="AD58" s="15"/>
      <c r="AE58" s="34"/>
      <c r="AF58" s="4"/>
      <c r="AG58" s="15"/>
      <c r="AH58" s="34"/>
      <c r="AI58" s="4"/>
      <c r="AJ58" s="15"/>
      <c r="AK58" s="34"/>
      <c r="AL58" s="4"/>
      <c r="AM58" s="15"/>
      <c r="AN58" s="34"/>
      <c r="AO58" s="4"/>
      <c r="AP58" s="15"/>
      <c r="AQ58" s="72"/>
    </row>
    <row r="59" spans="1:43" x14ac:dyDescent="0.25">
      <c r="A59" s="5">
        <v>14.4</v>
      </c>
      <c r="B59" s="26" t="s">
        <v>131</v>
      </c>
      <c r="C59" s="54" t="s">
        <v>16</v>
      </c>
      <c r="D59" s="52">
        <v>1170</v>
      </c>
      <c r="E59" s="10">
        <f>'Itemised Rates - June 2021'!D31</f>
        <v>354.8</v>
      </c>
      <c r="F59" s="15">
        <f t="shared" si="25"/>
        <v>415116</v>
      </c>
      <c r="G59" s="34">
        <f>D59</f>
        <v>1170</v>
      </c>
      <c r="H59" s="4" t="e">
        <f>H54</f>
        <v>#REF!</v>
      </c>
      <c r="I59" s="15" t="e">
        <f t="shared" si="26"/>
        <v>#REF!</v>
      </c>
      <c r="J59" s="34">
        <f>G59</f>
        <v>1170</v>
      </c>
      <c r="K59" s="4" t="e">
        <f>K54</f>
        <v>#REF!</v>
      </c>
      <c r="L59" s="15" t="e">
        <f t="shared" si="27"/>
        <v>#REF!</v>
      </c>
      <c r="M59" s="34">
        <f>J59</f>
        <v>1170</v>
      </c>
      <c r="N59" s="4" t="e">
        <f>N54</f>
        <v>#REF!</v>
      </c>
      <c r="O59" s="15" t="e">
        <f t="shared" si="28"/>
        <v>#REF!</v>
      </c>
      <c r="P59" s="34">
        <f>M59</f>
        <v>1170</v>
      </c>
      <c r="Q59" s="4" t="e">
        <f>Q54</f>
        <v>#REF!</v>
      </c>
      <c r="R59" s="15" t="e">
        <f t="shared" si="29"/>
        <v>#REF!</v>
      </c>
      <c r="S59" s="34">
        <f>P59</f>
        <v>1170</v>
      </c>
      <c r="T59" s="4" t="e">
        <f>T54</f>
        <v>#REF!</v>
      </c>
      <c r="U59" s="15" t="e">
        <f t="shared" si="30"/>
        <v>#REF!</v>
      </c>
      <c r="V59" s="34">
        <f>S59</f>
        <v>1170</v>
      </c>
      <c r="W59" s="4" t="e">
        <f>W54</f>
        <v>#REF!</v>
      </c>
      <c r="X59" s="15" t="e">
        <f t="shared" si="31"/>
        <v>#REF!</v>
      </c>
      <c r="Y59" s="34">
        <f>V59</f>
        <v>1170</v>
      </c>
      <c r="Z59" s="4" t="e">
        <f>Z54</f>
        <v>#REF!</v>
      </c>
      <c r="AA59" s="15" t="e">
        <f t="shared" si="32"/>
        <v>#REF!</v>
      </c>
      <c r="AB59" s="34">
        <f>Y59</f>
        <v>1170</v>
      </c>
      <c r="AC59" s="4" t="e">
        <f>AC54</f>
        <v>#REF!</v>
      </c>
      <c r="AD59" s="15" t="e">
        <f t="shared" si="33"/>
        <v>#REF!</v>
      </c>
      <c r="AE59" s="34">
        <f>AB59</f>
        <v>1170</v>
      </c>
      <c r="AF59" s="4" t="e">
        <f>AF54</f>
        <v>#REF!</v>
      </c>
      <c r="AG59" s="15" t="e">
        <f t="shared" si="34"/>
        <v>#REF!</v>
      </c>
      <c r="AH59" s="34">
        <f>AE59</f>
        <v>1170</v>
      </c>
      <c r="AI59" s="4">
        <f>AI54</f>
        <v>354.8</v>
      </c>
      <c r="AJ59" s="15">
        <f t="shared" si="35"/>
        <v>415116</v>
      </c>
      <c r="AK59" s="34">
        <f>AH59</f>
        <v>1170</v>
      </c>
      <c r="AL59" s="4" t="e">
        <f>AL54</f>
        <v>#REF!</v>
      </c>
      <c r="AM59" s="15" t="e">
        <f t="shared" si="36"/>
        <v>#REF!</v>
      </c>
      <c r="AN59" s="34">
        <f>AK59</f>
        <v>1170</v>
      </c>
      <c r="AO59" s="4" t="e">
        <f>AO54</f>
        <v>#REF!</v>
      </c>
      <c r="AP59" s="15" t="e">
        <f t="shared" si="37"/>
        <v>#REF!</v>
      </c>
      <c r="AQ59" s="72" t="s">
        <v>113</v>
      </c>
    </row>
    <row r="60" spans="1:43" x14ac:dyDescent="0.25">
      <c r="A60" s="5">
        <v>14.4</v>
      </c>
      <c r="B60" s="26" t="s">
        <v>132</v>
      </c>
      <c r="C60" s="54" t="s">
        <v>16</v>
      </c>
      <c r="D60" s="52">
        <v>1645</v>
      </c>
      <c r="E60" s="10">
        <f>'Itemised Rates - June 2021'!D31</f>
        <v>354.8</v>
      </c>
      <c r="F60" s="15">
        <f t="shared" si="25"/>
        <v>583646</v>
      </c>
      <c r="G60" s="34">
        <v>3300</v>
      </c>
      <c r="H60" s="4" t="e">
        <f>H54</f>
        <v>#REF!</v>
      </c>
      <c r="I60" s="15" t="e">
        <f t="shared" si="26"/>
        <v>#REF!</v>
      </c>
      <c r="J60" s="34">
        <v>3600</v>
      </c>
      <c r="K60" s="4" t="e">
        <f>K54</f>
        <v>#REF!</v>
      </c>
      <c r="L60" s="15" t="e">
        <f t="shared" si="27"/>
        <v>#REF!</v>
      </c>
      <c r="M60" s="34">
        <v>3900</v>
      </c>
      <c r="N60" s="4" t="e">
        <f>N54</f>
        <v>#REF!</v>
      </c>
      <c r="O60" s="15" t="e">
        <f t="shared" si="28"/>
        <v>#REF!</v>
      </c>
      <c r="P60" s="34">
        <v>4200</v>
      </c>
      <c r="Q60" s="4" t="e">
        <f>Q54</f>
        <v>#REF!</v>
      </c>
      <c r="R60" s="15" t="e">
        <f t="shared" si="29"/>
        <v>#REF!</v>
      </c>
      <c r="S60" s="34">
        <v>4500</v>
      </c>
      <c r="T60" s="4" t="e">
        <f>T54</f>
        <v>#REF!</v>
      </c>
      <c r="U60" s="15" t="e">
        <f t="shared" si="30"/>
        <v>#REF!</v>
      </c>
      <c r="V60" s="34">
        <v>4800</v>
      </c>
      <c r="W60" s="4" t="e">
        <f>W54</f>
        <v>#REF!</v>
      </c>
      <c r="X60" s="15" t="e">
        <f t="shared" si="31"/>
        <v>#REF!</v>
      </c>
      <c r="Y60" s="34">
        <v>5100</v>
      </c>
      <c r="Z60" s="4" t="e">
        <f>Z54</f>
        <v>#REF!</v>
      </c>
      <c r="AA60" s="15" t="e">
        <f t="shared" si="32"/>
        <v>#REF!</v>
      </c>
      <c r="AB60" s="34">
        <v>5400</v>
      </c>
      <c r="AC60" s="4" t="e">
        <f>AC54</f>
        <v>#REF!</v>
      </c>
      <c r="AD60" s="15" t="e">
        <f t="shared" si="33"/>
        <v>#REF!</v>
      </c>
      <c r="AE60" s="34">
        <v>5700</v>
      </c>
      <c r="AF60" s="4" t="e">
        <f>AF54</f>
        <v>#REF!</v>
      </c>
      <c r="AG60" s="15" t="e">
        <f t="shared" si="34"/>
        <v>#REF!</v>
      </c>
      <c r="AH60" s="34">
        <v>6000</v>
      </c>
      <c r="AI60" s="4">
        <f>AI54</f>
        <v>354.8</v>
      </c>
      <c r="AJ60" s="15">
        <f t="shared" si="35"/>
        <v>2128800</v>
      </c>
      <c r="AK60" s="34">
        <f>AH60</f>
        <v>6000</v>
      </c>
      <c r="AL60" s="4" t="e">
        <f>AL54</f>
        <v>#REF!</v>
      </c>
      <c r="AM60" s="15" t="e">
        <f t="shared" si="36"/>
        <v>#REF!</v>
      </c>
      <c r="AN60" s="34">
        <f>AK60</f>
        <v>6000</v>
      </c>
      <c r="AO60" s="4" t="e">
        <f>AO54</f>
        <v>#REF!</v>
      </c>
      <c r="AP60" s="15" t="e">
        <f t="shared" si="37"/>
        <v>#REF!</v>
      </c>
      <c r="AQ60" s="72" t="s">
        <v>113</v>
      </c>
    </row>
    <row r="61" spans="1:43" x14ac:dyDescent="0.25">
      <c r="A61" s="5">
        <v>14.4</v>
      </c>
      <c r="B61" s="26" t="s">
        <v>133</v>
      </c>
      <c r="C61" s="54" t="s">
        <v>16</v>
      </c>
      <c r="D61" s="52">
        <v>2365</v>
      </c>
      <c r="E61" s="10">
        <f>'Itemised Rates - June 2021'!D31</f>
        <v>354.8</v>
      </c>
      <c r="F61" s="15">
        <f t="shared" si="25"/>
        <v>839102</v>
      </c>
      <c r="G61" s="34">
        <f>D61</f>
        <v>2365</v>
      </c>
      <c r="H61" s="4" t="e">
        <f>H54</f>
        <v>#REF!</v>
      </c>
      <c r="I61" s="15" t="e">
        <f t="shared" si="26"/>
        <v>#REF!</v>
      </c>
      <c r="J61" s="34">
        <f>G61</f>
        <v>2365</v>
      </c>
      <c r="K61" s="4" t="e">
        <f>K54</f>
        <v>#REF!</v>
      </c>
      <c r="L61" s="15" t="e">
        <f t="shared" si="27"/>
        <v>#REF!</v>
      </c>
      <c r="M61" s="34">
        <f>J61</f>
        <v>2365</v>
      </c>
      <c r="N61" s="4" t="e">
        <f>N54</f>
        <v>#REF!</v>
      </c>
      <c r="O61" s="15" t="e">
        <f t="shared" si="28"/>
        <v>#REF!</v>
      </c>
      <c r="P61" s="34">
        <f>M61</f>
        <v>2365</v>
      </c>
      <c r="Q61" s="4" t="e">
        <f>Q54</f>
        <v>#REF!</v>
      </c>
      <c r="R61" s="15" t="e">
        <f t="shared" si="29"/>
        <v>#REF!</v>
      </c>
      <c r="S61" s="34">
        <f>P61</f>
        <v>2365</v>
      </c>
      <c r="T61" s="4" t="e">
        <f>T54</f>
        <v>#REF!</v>
      </c>
      <c r="U61" s="15" t="e">
        <f t="shared" si="30"/>
        <v>#REF!</v>
      </c>
      <c r="V61" s="34">
        <f>S61</f>
        <v>2365</v>
      </c>
      <c r="W61" s="4" t="e">
        <f>W54</f>
        <v>#REF!</v>
      </c>
      <c r="X61" s="15" t="e">
        <f t="shared" si="31"/>
        <v>#REF!</v>
      </c>
      <c r="Y61" s="34">
        <f>V61</f>
        <v>2365</v>
      </c>
      <c r="Z61" s="4" t="e">
        <f>Z54</f>
        <v>#REF!</v>
      </c>
      <c r="AA61" s="15" t="e">
        <f t="shared" si="32"/>
        <v>#REF!</v>
      </c>
      <c r="AB61" s="34">
        <f>Y61</f>
        <v>2365</v>
      </c>
      <c r="AC61" s="4" t="e">
        <f>AC54</f>
        <v>#REF!</v>
      </c>
      <c r="AD61" s="15" t="e">
        <f t="shared" si="33"/>
        <v>#REF!</v>
      </c>
      <c r="AE61" s="34">
        <f>AB61</f>
        <v>2365</v>
      </c>
      <c r="AF61" s="4" t="e">
        <f>AF54</f>
        <v>#REF!</v>
      </c>
      <c r="AG61" s="15" t="e">
        <f t="shared" si="34"/>
        <v>#REF!</v>
      </c>
      <c r="AH61" s="34">
        <f>AE61</f>
        <v>2365</v>
      </c>
      <c r="AI61" s="4">
        <f>AI54</f>
        <v>354.8</v>
      </c>
      <c r="AJ61" s="15">
        <f t="shared" si="35"/>
        <v>839102</v>
      </c>
      <c r="AK61" s="34">
        <f>AH61</f>
        <v>2365</v>
      </c>
      <c r="AL61" s="4" t="e">
        <f>AL54</f>
        <v>#REF!</v>
      </c>
      <c r="AM61" s="15" t="e">
        <f t="shared" si="36"/>
        <v>#REF!</v>
      </c>
      <c r="AN61" s="34">
        <f>AK61</f>
        <v>2365</v>
      </c>
      <c r="AO61" s="4" t="e">
        <f>AO54</f>
        <v>#REF!</v>
      </c>
      <c r="AP61" s="15" t="e">
        <f t="shared" si="37"/>
        <v>#REF!</v>
      </c>
      <c r="AQ61" s="72" t="s">
        <v>113</v>
      </c>
    </row>
    <row r="62" spans="1:43" x14ac:dyDescent="0.25">
      <c r="A62" s="5">
        <v>14.4</v>
      </c>
      <c r="B62" s="50" t="s">
        <v>134</v>
      </c>
      <c r="C62" s="48" t="s">
        <v>16</v>
      </c>
      <c r="D62" s="52">
        <v>3000</v>
      </c>
      <c r="E62" s="10">
        <f>'Itemised Rates - June 2021'!D31</f>
        <v>354.8</v>
      </c>
      <c r="F62" s="15">
        <f t="shared" si="25"/>
        <v>1064400</v>
      </c>
      <c r="G62" s="34">
        <f>D62</f>
        <v>3000</v>
      </c>
      <c r="H62" s="4" t="e">
        <f>H54</f>
        <v>#REF!</v>
      </c>
      <c r="I62" s="15" t="e">
        <f t="shared" si="26"/>
        <v>#REF!</v>
      </c>
      <c r="J62" s="34">
        <f>G62</f>
        <v>3000</v>
      </c>
      <c r="K62" s="4" t="e">
        <f>K54</f>
        <v>#REF!</v>
      </c>
      <c r="L62" s="15" t="e">
        <f t="shared" si="27"/>
        <v>#REF!</v>
      </c>
      <c r="M62" s="34">
        <f>J62</f>
        <v>3000</v>
      </c>
      <c r="N62" s="4" t="e">
        <f>N54</f>
        <v>#REF!</v>
      </c>
      <c r="O62" s="15" t="e">
        <f t="shared" si="28"/>
        <v>#REF!</v>
      </c>
      <c r="P62" s="34">
        <f>M62</f>
        <v>3000</v>
      </c>
      <c r="Q62" s="4" t="e">
        <f>Q54</f>
        <v>#REF!</v>
      </c>
      <c r="R62" s="15" t="e">
        <f t="shared" si="29"/>
        <v>#REF!</v>
      </c>
      <c r="S62" s="34">
        <f>P62</f>
        <v>3000</v>
      </c>
      <c r="T62" s="4" t="e">
        <f>T54</f>
        <v>#REF!</v>
      </c>
      <c r="U62" s="15" t="e">
        <f t="shared" si="30"/>
        <v>#REF!</v>
      </c>
      <c r="V62" s="34">
        <f>S62</f>
        <v>3000</v>
      </c>
      <c r="W62" s="4" t="e">
        <f>W54</f>
        <v>#REF!</v>
      </c>
      <c r="X62" s="15" t="e">
        <f t="shared" si="31"/>
        <v>#REF!</v>
      </c>
      <c r="Y62" s="34">
        <f>V62</f>
        <v>3000</v>
      </c>
      <c r="Z62" s="4" t="e">
        <f>Z54</f>
        <v>#REF!</v>
      </c>
      <c r="AA62" s="15" t="e">
        <f t="shared" si="32"/>
        <v>#REF!</v>
      </c>
      <c r="AB62" s="34">
        <f>Y62</f>
        <v>3000</v>
      </c>
      <c r="AC62" s="4" t="e">
        <f>AC54</f>
        <v>#REF!</v>
      </c>
      <c r="AD62" s="15" t="e">
        <f t="shared" si="33"/>
        <v>#REF!</v>
      </c>
      <c r="AE62" s="34">
        <f>AB62</f>
        <v>3000</v>
      </c>
      <c r="AF62" s="4" t="e">
        <f>AF54</f>
        <v>#REF!</v>
      </c>
      <c r="AG62" s="15" t="e">
        <f t="shared" si="34"/>
        <v>#REF!</v>
      </c>
      <c r="AH62" s="34">
        <f>AE62</f>
        <v>3000</v>
      </c>
      <c r="AI62" s="4">
        <f>AI54</f>
        <v>354.8</v>
      </c>
      <c r="AJ62" s="15">
        <f t="shared" si="35"/>
        <v>1064400</v>
      </c>
      <c r="AK62" s="34">
        <f>AH62</f>
        <v>3000</v>
      </c>
      <c r="AL62" s="4" t="e">
        <f>AL54</f>
        <v>#REF!</v>
      </c>
      <c r="AM62" s="15" t="e">
        <f t="shared" si="36"/>
        <v>#REF!</v>
      </c>
      <c r="AN62" s="34">
        <f>AK62</f>
        <v>3000</v>
      </c>
      <c r="AO62" s="4" t="e">
        <f>AO54</f>
        <v>#REF!</v>
      </c>
      <c r="AP62" s="15" t="e">
        <f t="shared" si="37"/>
        <v>#REF!</v>
      </c>
      <c r="AQ62" s="72" t="s">
        <v>113</v>
      </c>
    </row>
    <row r="63" spans="1:43" x14ac:dyDescent="0.25">
      <c r="A63" s="5"/>
      <c r="B63" s="206"/>
      <c r="C63" s="207"/>
      <c r="D63" s="208"/>
      <c r="E63" s="209"/>
      <c r="F63" s="210"/>
      <c r="G63" s="34"/>
      <c r="H63" s="4"/>
      <c r="I63" s="15"/>
      <c r="J63" s="34"/>
      <c r="K63" s="4"/>
      <c r="L63" s="15"/>
      <c r="M63" s="34"/>
      <c r="N63" s="4"/>
      <c r="O63" s="15"/>
      <c r="P63" s="34"/>
      <c r="Q63" s="4"/>
      <c r="R63" s="15"/>
      <c r="S63" s="34"/>
      <c r="T63" s="4"/>
      <c r="U63" s="15"/>
      <c r="V63" s="34"/>
      <c r="W63" s="4"/>
      <c r="X63" s="15"/>
      <c r="Y63" s="34"/>
      <c r="Z63" s="4"/>
      <c r="AA63" s="15"/>
      <c r="AB63" s="34"/>
      <c r="AC63" s="4"/>
      <c r="AD63" s="15"/>
      <c r="AE63" s="34"/>
      <c r="AF63" s="4"/>
      <c r="AG63" s="15"/>
      <c r="AH63" s="34"/>
      <c r="AI63" s="4"/>
      <c r="AJ63" s="15"/>
      <c r="AK63" s="34"/>
      <c r="AL63" s="4"/>
      <c r="AM63" s="15"/>
      <c r="AN63" s="34"/>
      <c r="AO63" s="4"/>
      <c r="AP63" s="15"/>
      <c r="AQ63" s="72"/>
    </row>
    <row r="64" spans="1:43" x14ac:dyDescent="0.25">
      <c r="A64" s="5"/>
      <c r="B64" s="206" t="s">
        <v>82</v>
      </c>
      <c r="C64" s="207"/>
      <c r="D64" s="208"/>
      <c r="E64" s="209"/>
      <c r="F64" s="210"/>
      <c r="G64" s="34"/>
      <c r="H64" s="4"/>
      <c r="I64" s="15"/>
      <c r="J64" s="34"/>
      <c r="K64" s="4"/>
      <c r="L64" s="15"/>
      <c r="M64" s="34"/>
      <c r="N64" s="4"/>
      <c r="O64" s="15"/>
      <c r="P64" s="34"/>
      <c r="Q64" s="4"/>
      <c r="R64" s="15"/>
      <c r="S64" s="34"/>
      <c r="T64" s="4"/>
      <c r="U64" s="15"/>
      <c r="V64" s="34"/>
      <c r="W64" s="4"/>
      <c r="X64" s="15"/>
      <c r="Y64" s="34"/>
      <c r="Z64" s="4"/>
      <c r="AA64" s="15"/>
      <c r="AB64" s="34"/>
      <c r="AC64" s="4"/>
      <c r="AD64" s="15"/>
      <c r="AE64" s="34"/>
      <c r="AF64" s="4"/>
      <c r="AG64" s="15"/>
      <c r="AH64" s="34"/>
      <c r="AI64" s="4"/>
      <c r="AJ64" s="15"/>
      <c r="AK64" s="34"/>
      <c r="AL64" s="4"/>
      <c r="AM64" s="15"/>
      <c r="AN64" s="34"/>
      <c r="AO64" s="4"/>
      <c r="AP64" s="15"/>
      <c r="AQ64" s="72"/>
    </row>
    <row r="65" spans="1:58" x14ac:dyDescent="0.25">
      <c r="A65" s="5"/>
      <c r="B65" s="206" t="s">
        <v>47</v>
      </c>
      <c r="C65" s="207"/>
      <c r="D65" s="208"/>
      <c r="E65" s="209"/>
      <c r="F65" s="210"/>
      <c r="G65" s="34"/>
      <c r="H65" s="4"/>
      <c r="I65" s="15"/>
      <c r="J65" s="34"/>
      <c r="K65" s="4"/>
      <c r="L65" s="15"/>
      <c r="M65" s="34"/>
      <c r="N65" s="4"/>
      <c r="O65" s="15"/>
      <c r="P65" s="34"/>
      <c r="Q65" s="4"/>
      <c r="R65" s="15"/>
      <c r="S65" s="34"/>
      <c r="T65" s="4"/>
      <c r="U65" s="15"/>
      <c r="V65" s="34"/>
      <c r="W65" s="4"/>
      <c r="X65" s="15"/>
      <c r="Y65" s="34"/>
      <c r="Z65" s="4"/>
      <c r="AA65" s="15"/>
      <c r="AB65" s="34"/>
      <c r="AC65" s="4"/>
      <c r="AD65" s="15"/>
      <c r="AE65" s="34"/>
      <c r="AF65" s="4"/>
      <c r="AG65" s="15"/>
      <c r="AH65" s="34"/>
      <c r="AI65" s="4"/>
      <c r="AJ65" s="15"/>
      <c r="AK65" s="34"/>
      <c r="AL65" s="4"/>
      <c r="AM65" s="15"/>
      <c r="AN65" s="34"/>
      <c r="AO65" s="4"/>
      <c r="AP65" s="15"/>
      <c r="AQ65" s="72"/>
      <c r="AZ65" t="s">
        <v>150</v>
      </c>
      <c r="BA65" t="s">
        <v>151</v>
      </c>
      <c r="BF65" t="s">
        <v>157</v>
      </c>
    </row>
    <row r="66" spans="1:58" ht="17.25" x14ac:dyDescent="0.25">
      <c r="A66" s="5">
        <v>14.2</v>
      </c>
      <c r="B66" s="25" t="s">
        <v>135</v>
      </c>
      <c r="C66" s="54" t="s">
        <v>15</v>
      </c>
      <c r="D66" s="42">
        <f>1500*10</f>
        <v>15000</v>
      </c>
      <c r="E66" s="10">
        <f>'Itemised Rates - June 2021'!D29</f>
        <v>26.84</v>
      </c>
      <c r="F66" s="15">
        <f t="shared" ref="F66:F70" si="38">D66*E66</f>
        <v>402600</v>
      </c>
      <c r="G66" s="34">
        <f>D66-12000</f>
        <v>3000</v>
      </c>
      <c r="H66" s="4" t="e">
        <f>#REF!</f>
        <v>#REF!</v>
      </c>
      <c r="I66" s="15" t="e">
        <f>G66*H66</f>
        <v>#REF!</v>
      </c>
      <c r="J66" s="34">
        <f>G66</f>
        <v>3000</v>
      </c>
      <c r="K66" s="4" t="e">
        <f>#REF!</f>
        <v>#REF!</v>
      </c>
      <c r="L66" s="15" t="e">
        <f t="shared" si="27"/>
        <v>#REF!</v>
      </c>
      <c r="M66" s="34">
        <f>J66</f>
        <v>3000</v>
      </c>
      <c r="N66" s="4" t="e">
        <f>#REF!</f>
        <v>#REF!</v>
      </c>
      <c r="O66" s="15" t="e">
        <f>M66*N66</f>
        <v>#REF!</v>
      </c>
      <c r="P66" s="34">
        <f>M66</f>
        <v>3000</v>
      </c>
      <c r="Q66" s="4" t="e">
        <f>#REF!</f>
        <v>#REF!</v>
      </c>
      <c r="R66" s="15" t="e">
        <f>P66*Q66</f>
        <v>#REF!</v>
      </c>
      <c r="S66" s="34">
        <f>P66</f>
        <v>3000</v>
      </c>
      <c r="T66" s="4" t="e">
        <f>#REF!</f>
        <v>#REF!</v>
      </c>
      <c r="U66" s="15" t="e">
        <f>S66*T66</f>
        <v>#REF!</v>
      </c>
      <c r="V66" s="34">
        <f>S66</f>
        <v>3000</v>
      </c>
      <c r="W66" s="4" t="e">
        <f>#REF!</f>
        <v>#REF!</v>
      </c>
      <c r="X66" s="15" t="e">
        <f>V66*W66</f>
        <v>#REF!</v>
      </c>
      <c r="Y66" s="34">
        <f>V66</f>
        <v>3000</v>
      </c>
      <c r="Z66" s="4" t="e">
        <f>#REF!</f>
        <v>#REF!</v>
      </c>
      <c r="AA66" s="15" t="e">
        <f>Y66*Z66</f>
        <v>#REF!</v>
      </c>
      <c r="AB66" s="34">
        <f>Y66</f>
        <v>3000</v>
      </c>
      <c r="AC66" s="4" t="e">
        <f>AC72</f>
        <v>#REF!</v>
      </c>
      <c r="AD66" s="15" t="e">
        <f>AB66*AC66</f>
        <v>#REF!</v>
      </c>
      <c r="AE66" s="34">
        <f>AB66</f>
        <v>3000</v>
      </c>
      <c r="AF66" s="4" t="e">
        <f>AF72</f>
        <v>#REF!</v>
      </c>
      <c r="AG66" s="15" t="e">
        <f>AE66*AF66</f>
        <v>#REF!</v>
      </c>
      <c r="AH66" s="34">
        <f>AE66</f>
        <v>3000</v>
      </c>
      <c r="AI66" s="4">
        <f>E66</f>
        <v>26.84</v>
      </c>
      <c r="AJ66" s="15">
        <f>AH66*AI66</f>
        <v>80520</v>
      </c>
      <c r="AK66" s="34">
        <f>AH66</f>
        <v>3000</v>
      </c>
      <c r="AL66" s="4" t="e">
        <f>AL72</f>
        <v>#REF!</v>
      </c>
      <c r="AM66" s="15" t="e">
        <f>AK66*AL66</f>
        <v>#REF!</v>
      </c>
      <c r="AN66" s="34">
        <f>AK66</f>
        <v>3000</v>
      </c>
      <c r="AO66" s="4" t="e">
        <f>AO72</f>
        <v>#REF!</v>
      </c>
      <c r="AP66" s="15" t="e">
        <f>AN66*AO66</f>
        <v>#REF!</v>
      </c>
      <c r="AQ66" s="72" t="s">
        <v>113</v>
      </c>
      <c r="AZ66">
        <v>4467229</v>
      </c>
      <c r="BA66" t="s">
        <v>152</v>
      </c>
      <c r="BF66" s="96">
        <f>AZ66*E66</f>
        <v>119900426.36</v>
      </c>
    </row>
    <row r="67" spans="1:58" s="7" customFormat="1" ht="17.25" x14ac:dyDescent="0.25">
      <c r="A67" s="77">
        <v>14.2</v>
      </c>
      <c r="B67" s="25" t="s">
        <v>136</v>
      </c>
      <c r="C67" s="54" t="s">
        <v>15</v>
      </c>
      <c r="D67" s="52">
        <f>(2212010*0.33*0.7)-160000</f>
        <v>350974.31</v>
      </c>
      <c r="E67" s="9">
        <f>'Itemised Rates - June 2021'!D29</f>
        <v>26.84</v>
      </c>
      <c r="F67" s="53">
        <f t="shared" si="38"/>
        <v>9420150.4803999998</v>
      </c>
      <c r="G67" s="71">
        <f>D67</f>
        <v>350974.31</v>
      </c>
      <c r="H67" s="78" t="e">
        <f>#REF!</f>
        <v>#REF!</v>
      </c>
      <c r="I67" s="53" t="e">
        <f t="shared" ref="I67:I70" si="39">G67*H67</f>
        <v>#REF!</v>
      </c>
      <c r="J67" s="71">
        <f>G67</f>
        <v>350974.31</v>
      </c>
      <c r="K67" s="78" t="e">
        <f>K66</f>
        <v>#REF!</v>
      </c>
      <c r="L67" s="53" t="e">
        <f t="shared" si="27"/>
        <v>#REF!</v>
      </c>
      <c r="M67" s="71">
        <f>J67</f>
        <v>350974.31</v>
      </c>
      <c r="N67" s="78" t="e">
        <f>N66</f>
        <v>#REF!</v>
      </c>
      <c r="O67" s="53" t="e">
        <f t="shared" ref="O67:O70" si="40">M67*N67</f>
        <v>#REF!</v>
      </c>
      <c r="P67" s="71">
        <f>M67</f>
        <v>350974.31</v>
      </c>
      <c r="Q67" s="78" t="e">
        <f>Q66</f>
        <v>#REF!</v>
      </c>
      <c r="R67" s="53" t="e">
        <f t="shared" ref="R67:R70" si="41">P67*Q67</f>
        <v>#REF!</v>
      </c>
      <c r="S67" s="71">
        <f>P67</f>
        <v>350974.31</v>
      </c>
      <c r="T67" s="78" t="e">
        <f>T66</f>
        <v>#REF!</v>
      </c>
      <c r="U67" s="53" t="e">
        <f t="shared" ref="U67:U70" si="42">S67*T67</f>
        <v>#REF!</v>
      </c>
      <c r="V67" s="71">
        <f>S67</f>
        <v>350974.31</v>
      </c>
      <c r="W67" s="78" t="e">
        <f>W66</f>
        <v>#REF!</v>
      </c>
      <c r="X67" s="53" t="e">
        <f t="shared" ref="X67:X70" si="43">V67*W67</f>
        <v>#REF!</v>
      </c>
      <c r="Y67" s="71">
        <f>V67</f>
        <v>350974.31</v>
      </c>
      <c r="Z67" s="78" t="e">
        <f>Z66</f>
        <v>#REF!</v>
      </c>
      <c r="AA67" s="53" t="e">
        <f t="shared" ref="AA67:AA70" si="44">Y67*Z67</f>
        <v>#REF!</v>
      </c>
      <c r="AB67" s="71">
        <f>Y67</f>
        <v>350974.31</v>
      </c>
      <c r="AC67" s="78" t="e">
        <f>AC72</f>
        <v>#REF!</v>
      </c>
      <c r="AD67" s="53" t="e">
        <f t="shared" ref="AD67:AD70" si="45">AB67*AC67</f>
        <v>#REF!</v>
      </c>
      <c r="AE67" s="71">
        <f>AB67</f>
        <v>350974.31</v>
      </c>
      <c r="AF67" s="78" t="e">
        <f>AF72</f>
        <v>#REF!</v>
      </c>
      <c r="AG67" s="53" t="e">
        <f t="shared" ref="AG67:AG70" si="46">AE67*AF67</f>
        <v>#REF!</v>
      </c>
      <c r="AH67" s="71">
        <f>AE67</f>
        <v>350974.31</v>
      </c>
      <c r="AI67" s="78">
        <f>E67</f>
        <v>26.84</v>
      </c>
      <c r="AJ67" s="53">
        <f t="shared" ref="AJ67:AJ70" si="47">AH67*AI67</f>
        <v>9420150.4803999998</v>
      </c>
      <c r="AK67" s="71">
        <f>AH67</f>
        <v>350974.31</v>
      </c>
      <c r="AL67" s="78" t="e">
        <f>AL72</f>
        <v>#REF!</v>
      </c>
      <c r="AM67" s="53" t="e">
        <f t="shared" ref="AM67:AM70" si="48">AK67*AL67</f>
        <v>#REF!</v>
      </c>
      <c r="AN67" s="71">
        <f>AK67</f>
        <v>350974.31</v>
      </c>
      <c r="AO67" s="78" t="e">
        <f>AO72</f>
        <v>#REF!</v>
      </c>
      <c r="AP67" s="53" t="e">
        <f t="shared" ref="AP67:AP70" si="49">AN67*AO67</f>
        <v>#REF!</v>
      </c>
      <c r="AQ67" s="95" t="s">
        <v>113</v>
      </c>
      <c r="AZ67" s="7">
        <v>2274978</v>
      </c>
      <c r="BA67" s="7" t="s">
        <v>153</v>
      </c>
      <c r="BF67" s="96">
        <f>AZ67*E67</f>
        <v>61060409.520000003</v>
      </c>
    </row>
    <row r="68" spans="1:58" s="7" customFormat="1" ht="17.25" x14ac:dyDescent="0.25">
      <c r="A68" s="77">
        <v>14.3</v>
      </c>
      <c r="B68" s="25" t="s">
        <v>141</v>
      </c>
      <c r="C68" s="54" t="s">
        <v>15</v>
      </c>
      <c r="D68" s="52">
        <f>420000</f>
        <v>420000</v>
      </c>
      <c r="E68" s="9">
        <f>'Itemised Rates - June 2021'!D30</f>
        <v>22.56</v>
      </c>
      <c r="F68" s="53">
        <f t="shared" si="38"/>
        <v>9475200</v>
      </c>
      <c r="G68" s="71">
        <f>D68</f>
        <v>420000</v>
      </c>
      <c r="H68" s="78" t="e">
        <f>#REF!</f>
        <v>#REF!</v>
      </c>
      <c r="I68" s="53" t="e">
        <f t="shared" si="39"/>
        <v>#REF!</v>
      </c>
      <c r="J68" s="71">
        <f>G68</f>
        <v>420000</v>
      </c>
      <c r="K68" s="78" t="e">
        <f>#REF!</f>
        <v>#REF!</v>
      </c>
      <c r="L68" s="53" t="e">
        <f t="shared" si="27"/>
        <v>#REF!</v>
      </c>
      <c r="M68" s="71">
        <f>J68</f>
        <v>420000</v>
      </c>
      <c r="N68" s="78" t="e">
        <f>#REF!</f>
        <v>#REF!</v>
      </c>
      <c r="O68" s="53" t="e">
        <f t="shared" si="40"/>
        <v>#REF!</v>
      </c>
      <c r="P68" s="71">
        <f>M68</f>
        <v>420000</v>
      </c>
      <c r="Q68" s="78" t="e">
        <f>#REF!</f>
        <v>#REF!</v>
      </c>
      <c r="R68" s="53" t="e">
        <f t="shared" si="41"/>
        <v>#REF!</v>
      </c>
      <c r="S68" s="71">
        <f>P68</f>
        <v>420000</v>
      </c>
      <c r="T68" s="78" t="e">
        <f>#REF!</f>
        <v>#REF!</v>
      </c>
      <c r="U68" s="53" t="e">
        <f t="shared" si="42"/>
        <v>#REF!</v>
      </c>
      <c r="V68" s="71">
        <f>S68</f>
        <v>420000</v>
      </c>
      <c r="W68" s="78" t="e">
        <f>#REF!</f>
        <v>#REF!</v>
      </c>
      <c r="X68" s="53" t="e">
        <f t="shared" si="43"/>
        <v>#REF!</v>
      </c>
      <c r="Y68" s="71">
        <f>V68</f>
        <v>420000</v>
      </c>
      <c r="Z68" s="78" t="e">
        <f>#REF!</f>
        <v>#REF!</v>
      </c>
      <c r="AA68" s="53" t="e">
        <f t="shared" si="44"/>
        <v>#REF!</v>
      </c>
      <c r="AB68" s="71">
        <f>Y68</f>
        <v>420000</v>
      </c>
      <c r="AC68" s="78" t="e">
        <f>#REF!</f>
        <v>#REF!</v>
      </c>
      <c r="AD68" s="53" t="e">
        <f t="shared" si="45"/>
        <v>#REF!</v>
      </c>
      <c r="AE68" s="71">
        <f>AB68</f>
        <v>420000</v>
      </c>
      <c r="AF68" s="78" t="e">
        <f>#REF!</f>
        <v>#REF!</v>
      </c>
      <c r="AG68" s="53" t="e">
        <f t="shared" si="46"/>
        <v>#REF!</v>
      </c>
      <c r="AH68" s="71">
        <f>AE68</f>
        <v>420000</v>
      </c>
      <c r="AI68" s="78">
        <f>E68</f>
        <v>22.56</v>
      </c>
      <c r="AJ68" s="53">
        <f t="shared" si="47"/>
        <v>9475200</v>
      </c>
      <c r="AK68" s="71">
        <f>AH68</f>
        <v>420000</v>
      </c>
      <c r="AL68" s="78" t="e">
        <f>#REF!</f>
        <v>#REF!</v>
      </c>
      <c r="AM68" s="53" t="e">
        <f t="shared" si="48"/>
        <v>#REF!</v>
      </c>
      <c r="AN68" s="71">
        <f>AK68</f>
        <v>420000</v>
      </c>
      <c r="AO68" s="78" t="e">
        <f>#REF!</f>
        <v>#REF!</v>
      </c>
      <c r="AP68" s="53" t="e">
        <f t="shared" si="49"/>
        <v>#REF!</v>
      </c>
      <c r="AQ68" s="95" t="s">
        <v>113</v>
      </c>
      <c r="AZ68" s="7">
        <v>229470</v>
      </c>
      <c r="BA68" s="7" t="s">
        <v>154</v>
      </c>
      <c r="BF68" s="96">
        <f>AZ68*E68</f>
        <v>5176843.1999999993</v>
      </c>
    </row>
    <row r="69" spans="1:58" ht="17.25" x14ac:dyDescent="0.25">
      <c r="A69" s="5">
        <v>14.4</v>
      </c>
      <c r="B69" s="25" t="s">
        <v>137</v>
      </c>
      <c r="C69" s="54" t="s">
        <v>15</v>
      </c>
      <c r="D69" s="52">
        <f>300*100*10</f>
        <v>300000</v>
      </c>
      <c r="E69" s="9">
        <f>'Itemised Rates - June 2021'!D29</f>
        <v>26.84</v>
      </c>
      <c r="F69" s="15">
        <f t="shared" si="38"/>
        <v>8052000</v>
      </c>
      <c r="G69" s="34">
        <f>D69</f>
        <v>300000</v>
      </c>
      <c r="H69" s="4" t="e">
        <f>H66</f>
        <v>#REF!</v>
      </c>
      <c r="I69" s="15" t="e">
        <f t="shared" si="39"/>
        <v>#REF!</v>
      </c>
      <c r="J69" s="34">
        <f>G69</f>
        <v>300000</v>
      </c>
      <c r="K69" s="4" t="e">
        <f>K66</f>
        <v>#REF!</v>
      </c>
      <c r="L69" s="15" t="e">
        <f t="shared" si="27"/>
        <v>#REF!</v>
      </c>
      <c r="M69" s="34">
        <f>J69</f>
        <v>300000</v>
      </c>
      <c r="N69" s="4" t="e">
        <f>N66</f>
        <v>#REF!</v>
      </c>
      <c r="O69" s="15" t="e">
        <f t="shared" si="40"/>
        <v>#REF!</v>
      </c>
      <c r="P69" s="34">
        <f>M69</f>
        <v>300000</v>
      </c>
      <c r="Q69" s="4" t="e">
        <f>Q66</f>
        <v>#REF!</v>
      </c>
      <c r="R69" s="15" t="e">
        <f t="shared" si="41"/>
        <v>#REF!</v>
      </c>
      <c r="S69" s="34">
        <f>P69</f>
        <v>300000</v>
      </c>
      <c r="T69" s="4" t="e">
        <f>T66</f>
        <v>#REF!</v>
      </c>
      <c r="U69" s="15" t="e">
        <f t="shared" si="42"/>
        <v>#REF!</v>
      </c>
      <c r="V69" s="34">
        <f>S69</f>
        <v>300000</v>
      </c>
      <c r="W69" s="4" t="e">
        <f>W66</f>
        <v>#REF!</v>
      </c>
      <c r="X69" s="15" t="e">
        <f t="shared" si="43"/>
        <v>#REF!</v>
      </c>
      <c r="Y69" s="34">
        <f>V69</f>
        <v>300000</v>
      </c>
      <c r="Z69" s="4" t="e">
        <f>Z66</f>
        <v>#REF!</v>
      </c>
      <c r="AA69" s="15" t="e">
        <f t="shared" si="44"/>
        <v>#REF!</v>
      </c>
      <c r="AB69" s="34">
        <f>Y69</f>
        <v>300000</v>
      </c>
      <c r="AC69" s="4" t="e">
        <f>AC72</f>
        <v>#REF!</v>
      </c>
      <c r="AD69" s="15" t="e">
        <f t="shared" si="45"/>
        <v>#REF!</v>
      </c>
      <c r="AE69" s="34">
        <f>AB69</f>
        <v>300000</v>
      </c>
      <c r="AF69" s="4" t="e">
        <f>AF72</f>
        <v>#REF!</v>
      </c>
      <c r="AG69" s="15" t="e">
        <f t="shared" si="46"/>
        <v>#REF!</v>
      </c>
      <c r="AH69" s="34">
        <f>AE69</f>
        <v>300000</v>
      </c>
      <c r="AI69" s="4">
        <f>E69</f>
        <v>26.84</v>
      </c>
      <c r="AJ69" s="15">
        <f t="shared" si="47"/>
        <v>8052000</v>
      </c>
      <c r="AK69" s="34">
        <f>AH69</f>
        <v>300000</v>
      </c>
      <c r="AL69" s="4" t="e">
        <f>AL72</f>
        <v>#REF!</v>
      </c>
      <c r="AM69" s="15" t="e">
        <f t="shared" si="48"/>
        <v>#REF!</v>
      </c>
      <c r="AN69" s="34">
        <f>AK69</f>
        <v>300000</v>
      </c>
      <c r="AO69" s="4" t="e">
        <f>AO72</f>
        <v>#REF!</v>
      </c>
      <c r="AP69" s="15" t="e">
        <f t="shared" si="49"/>
        <v>#REF!</v>
      </c>
      <c r="AQ69" s="72" t="s">
        <v>113</v>
      </c>
    </row>
    <row r="70" spans="1:58" ht="17.25" x14ac:dyDescent="0.25">
      <c r="A70" s="5">
        <v>14.5</v>
      </c>
      <c r="B70" s="25" t="s">
        <v>138</v>
      </c>
      <c r="C70" s="54" t="s">
        <v>15</v>
      </c>
      <c r="D70" s="52">
        <f>500000*0.7</f>
        <v>350000</v>
      </c>
      <c r="E70" s="9">
        <f>'Itemised Rates - June 2021'!D29</f>
        <v>26.84</v>
      </c>
      <c r="F70" s="15">
        <f t="shared" si="38"/>
        <v>9394000</v>
      </c>
      <c r="G70" s="34">
        <f>D70</f>
        <v>350000</v>
      </c>
      <c r="H70" s="4" t="e">
        <f>H66</f>
        <v>#REF!</v>
      </c>
      <c r="I70" s="15" t="e">
        <f t="shared" si="39"/>
        <v>#REF!</v>
      </c>
      <c r="J70" s="34">
        <f>G70</f>
        <v>350000</v>
      </c>
      <c r="K70" s="4" t="e">
        <f>K66</f>
        <v>#REF!</v>
      </c>
      <c r="L70" s="15" t="e">
        <f t="shared" si="27"/>
        <v>#REF!</v>
      </c>
      <c r="M70" s="34">
        <f>J70</f>
        <v>350000</v>
      </c>
      <c r="N70" s="4" t="e">
        <f>N66</f>
        <v>#REF!</v>
      </c>
      <c r="O70" s="15" t="e">
        <f t="shared" si="40"/>
        <v>#REF!</v>
      </c>
      <c r="P70" s="34">
        <f>M70</f>
        <v>350000</v>
      </c>
      <c r="Q70" s="4" t="e">
        <f>Q66</f>
        <v>#REF!</v>
      </c>
      <c r="R70" s="15" t="e">
        <f t="shared" si="41"/>
        <v>#REF!</v>
      </c>
      <c r="S70" s="34">
        <f>P70</f>
        <v>350000</v>
      </c>
      <c r="T70" s="4" t="e">
        <f>T66</f>
        <v>#REF!</v>
      </c>
      <c r="U70" s="15" t="e">
        <f t="shared" si="42"/>
        <v>#REF!</v>
      </c>
      <c r="V70" s="34">
        <f>S70</f>
        <v>350000</v>
      </c>
      <c r="W70" s="4" t="e">
        <f>W66</f>
        <v>#REF!</v>
      </c>
      <c r="X70" s="15" t="e">
        <f t="shared" si="43"/>
        <v>#REF!</v>
      </c>
      <c r="Y70" s="34">
        <f>V70</f>
        <v>350000</v>
      </c>
      <c r="Z70" s="4" t="e">
        <f>Z66</f>
        <v>#REF!</v>
      </c>
      <c r="AA70" s="15" t="e">
        <f t="shared" si="44"/>
        <v>#REF!</v>
      </c>
      <c r="AB70" s="34">
        <f>Y70</f>
        <v>350000</v>
      </c>
      <c r="AC70" s="4" t="e">
        <f>AC72</f>
        <v>#REF!</v>
      </c>
      <c r="AD70" s="15" t="e">
        <f t="shared" si="45"/>
        <v>#REF!</v>
      </c>
      <c r="AE70" s="34">
        <f>AB70</f>
        <v>350000</v>
      </c>
      <c r="AF70" s="4" t="e">
        <f>AF72</f>
        <v>#REF!</v>
      </c>
      <c r="AG70" s="15" t="e">
        <f t="shared" si="46"/>
        <v>#REF!</v>
      </c>
      <c r="AH70" s="34">
        <f>AE70</f>
        <v>350000</v>
      </c>
      <c r="AI70" s="4">
        <f>E70</f>
        <v>26.84</v>
      </c>
      <c r="AJ70" s="15">
        <f t="shared" si="47"/>
        <v>9394000</v>
      </c>
      <c r="AK70" s="34">
        <f>AH70</f>
        <v>350000</v>
      </c>
      <c r="AL70" s="4" t="e">
        <f>AL72</f>
        <v>#REF!</v>
      </c>
      <c r="AM70" s="15" t="e">
        <f t="shared" si="48"/>
        <v>#REF!</v>
      </c>
      <c r="AN70" s="34">
        <f>AK70</f>
        <v>350000</v>
      </c>
      <c r="AO70" s="4" t="e">
        <f>AO72</f>
        <v>#REF!</v>
      </c>
      <c r="AP70" s="15" t="e">
        <f t="shared" si="49"/>
        <v>#REF!</v>
      </c>
      <c r="AQ70" s="72" t="s">
        <v>113</v>
      </c>
      <c r="AS70" s="23"/>
    </row>
    <row r="71" spans="1:58" x14ac:dyDescent="0.25">
      <c r="A71" s="5"/>
      <c r="B71" s="206" t="s">
        <v>48</v>
      </c>
      <c r="C71" s="207"/>
      <c r="D71" s="208"/>
      <c r="E71" s="209"/>
      <c r="F71" s="210"/>
      <c r="G71" s="224"/>
      <c r="H71" s="225"/>
      <c r="I71" s="226"/>
      <c r="J71" s="224"/>
      <c r="K71" s="225"/>
      <c r="L71" s="226"/>
      <c r="M71" s="224"/>
      <c r="N71" s="225"/>
      <c r="O71" s="226"/>
      <c r="P71" s="224"/>
      <c r="Q71" s="225"/>
      <c r="R71" s="226"/>
      <c r="S71" s="224"/>
      <c r="T71" s="225"/>
      <c r="U71" s="226"/>
      <c r="V71" s="224"/>
      <c r="W71" s="225"/>
      <c r="X71" s="226"/>
      <c r="Y71" s="224"/>
      <c r="Z71" s="225"/>
      <c r="AA71" s="226"/>
      <c r="AB71" s="224"/>
      <c r="AC71" s="225"/>
      <c r="AD71" s="226"/>
      <c r="AE71" s="224"/>
      <c r="AF71" s="225"/>
      <c r="AG71" s="226"/>
      <c r="AH71" s="224"/>
      <c r="AI71" s="225"/>
      <c r="AJ71" s="226"/>
      <c r="AK71" s="224"/>
      <c r="AL71" s="225"/>
      <c r="AM71" s="226"/>
      <c r="AN71" s="224"/>
      <c r="AO71" s="225"/>
      <c r="AP71" s="226"/>
      <c r="AQ71" s="72"/>
      <c r="AS71" s="23"/>
    </row>
    <row r="72" spans="1:58" ht="17.25" x14ac:dyDescent="0.25">
      <c r="A72" s="5">
        <v>14.2</v>
      </c>
      <c r="B72" s="25" t="s">
        <v>83</v>
      </c>
      <c r="C72" s="54" t="s">
        <v>15</v>
      </c>
      <c r="D72" s="52">
        <f>11410*3</f>
        <v>34230</v>
      </c>
      <c r="E72" s="9">
        <f>'Itemised Rates - June 2021'!D29</f>
        <v>26.84</v>
      </c>
      <c r="F72" s="15">
        <f>D72*E72</f>
        <v>918733.2</v>
      </c>
      <c r="G72" s="34">
        <v>0</v>
      </c>
      <c r="H72" s="4" t="e">
        <f>#REF!</f>
        <v>#REF!</v>
      </c>
      <c r="I72" s="15" t="e">
        <f>G72*H72</f>
        <v>#REF!</v>
      </c>
      <c r="J72" s="34">
        <f>11125</f>
        <v>11125</v>
      </c>
      <c r="K72" s="4" t="e">
        <f>#REF!</f>
        <v>#REF!</v>
      </c>
      <c r="L72" s="15" t="e">
        <f>J72*K72</f>
        <v>#REF!</v>
      </c>
      <c r="M72" s="34">
        <f>11125</f>
        <v>11125</v>
      </c>
      <c r="N72" s="4" t="e">
        <f>#REF!</f>
        <v>#REF!</v>
      </c>
      <c r="O72" s="15" t="e">
        <f>M72*N72</f>
        <v>#REF!</v>
      </c>
      <c r="P72" s="34">
        <f>11125</f>
        <v>11125</v>
      </c>
      <c r="Q72" s="4" t="e">
        <f>#REF!</f>
        <v>#REF!</v>
      </c>
      <c r="R72" s="15" t="e">
        <f>P72*Q72</f>
        <v>#REF!</v>
      </c>
      <c r="S72" s="34">
        <f>11125</f>
        <v>11125</v>
      </c>
      <c r="T72" s="4" t="e">
        <f>#REF!</f>
        <v>#REF!</v>
      </c>
      <c r="U72" s="15" t="e">
        <f>S72*T72</f>
        <v>#REF!</v>
      </c>
      <c r="V72" s="34">
        <f>11125</f>
        <v>11125</v>
      </c>
      <c r="W72" s="4" t="e">
        <f>#REF!</f>
        <v>#REF!</v>
      </c>
      <c r="X72" s="15" t="e">
        <f>V72*W72</f>
        <v>#REF!</v>
      </c>
      <c r="Y72" s="34">
        <f>11125</f>
        <v>11125</v>
      </c>
      <c r="Z72" s="4" t="e">
        <f>#REF!</f>
        <v>#REF!</v>
      </c>
      <c r="AA72" s="15" t="e">
        <f>Y72*Z72</f>
        <v>#REF!</v>
      </c>
      <c r="AB72" s="34">
        <f>11125</f>
        <v>11125</v>
      </c>
      <c r="AC72" s="4" t="e">
        <f>#REF!</f>
        <v>#REF!</v>
      </c>
      <c r="AD72" s="15" t="e">
        <f>AB72*AC72</f>
        <v>#REF!</v>
      </c>
      <c r="AE72" s="34">
        <f>11125</f>
        <v>11125</v>
      </c>
      <c r="AF72" s="4" t="e">
        <f>#REF!</f>
        <v>#REF!</v>
      </c>
      <c r="AG72" s="15" t="e">
        <f>AE72*AF72</f>
        <v>#REF!</v>
      </c>
      <c r="AH72" s="34">
        <f>11125</f>
        <v>11125</v>
      </c>
      <c r="AI72" s="4">
        <f>E72</f>
        <v>26.84</v>
      </c>
      <c r="AJ72" s="15">
        <f>AH72*AI72</f>
        <v>298595</v>
      </c>
      <c r="AK72" s="34">
        <f>11125</f>
        <v>11125</v>
      </c>
      <c r="AL72" s="4" t="e">
        <f>#REF!</f>
        <v>#REF!</v>
      </c>
      <c r="AM72" s="15" t="e">
        <f>AK72*AL72</f>
        <v>#REF!</v>
      </c>
      <c r="AN72" s="34">
        <f>11125</f>
        <v>11125</v>
      </c>
      <c r="AO72" s="4" t="e">
        <f>#REF!</f>
        <v>#REF!</v>
      </c>
      <c r="AP72" s="15" t="e">
        <f>AN72*AO72</f>
        <v>#REF!</v>
      </c>
      <c r="AQ72" s="72" t="s">
        <v>113</v>
      </c>
      <c r="AS72" s="23"/>
    </row>
    <row r="73" spans="1:58" ht="17.25" x14ac:dyDescent="0.25">
      <c r="A73" s="5">
        <v>14.2</v>
      </c>
      <c r="B73" s="47" t="s">
        <v>88</v>
      </c>
      <c r="C73" s="54" t="s">
        <v>15</v>
      </c>
      <c r="D73" s="42">
        <f>38*350*12</f>
        <v>159600</v>
      </c>
      <c r="E73" s="10">
        <f>'Itemised Rates - June 2021'!D29</f>
        <v>26.84</v>
      </c>
      <c r="F73" s="15">
        <f t="shared" ref="F73" si="50">D73*E73</f>
        <v>4283664</v>
      </c>
      <c r="G73" s="34">
        <f>D73</f>
        <v>159600</v>
      </c>
      <c r="H73" s="4" t="e">
        <f>H72</f>
        <v>#REF!</v>
      </c>
      <c r="I73" s="15" t="e">
        <f>G73*H73</f>
        <v>#REF!</v>
      </c>
      <c r="J73" s="34">
        <f>G73</f>
        <v>159600</v>
      </c>
      <c r="K73" s="4" t="e">
        <f>K72</f>
        <v>#REF!</v>
      </c>
      <c r="L73" s="15" t="e">
        <f>J73*K73</f>
        <v>#REF!</v>
      </c>
      <c r="M73" s="34">
        <f>J73</f>
        <v>159600</v>
      </c>
      <c r="N73" s="4" t="e">
        <f>N66</f>
        <v>#REF!</v>
      </c>
      <c r="O73" s="15" t="e">
        <f>M73*N73</f>
        <v>#REF!</v>
      </c>
      <c r="P73" s="34">
        <f>M73</f>
        <v>159600</v>
      </c>
      <c r="Q73" s="4" t="e">
        <f>Q66</f>
        <v>#REF!</v>
      </c>
      <c r="R73" s="15" t="e">
        <f>P73*Q73</f>
        <v>#REF!</v>
      </c>
      <c r="S73" s="34">
        <f>P73</f>
        <v>159600</v>
      </c>
      <c r="T73" s="4" t="e">
        <f>T66</f>
        <v>#REF!</v>
      </c>
      <c r="U73" s="15" t="e">
        <f>S73*T73</f>
        <v>#REF!</v>
      </c>
      <c r="V73" s="34">
        <f>S73</f>
        <v>159600</v>
      </c>
      <c r="W73" s="4" t="e">
        <f>W66</f>
        <v>#REF!</v>
      </c>
      <c r="X73" s="15" t="e">
        <f>V73*W73</f>
        <v>#REF!</v>
      </c>
      <c r="Y73" s="34">
        <f>V73</f>
        <v>159600</v>
      </c>
      <c r="Z73" s="4" t="e">
        <f>Z66</f>
        <v>#REF!</v>
      </c>
      <c r="AA73" s="15" t="e">
        <f>Y73*Z73</f>
        <v>#REF!</v>
      </c>
      <c r="AB73" s="34">
        <f>Y73</f>
        <v>159600</v>
      </c>
      <c r="AC73" s="4" t="e">
        <f>AC72</f>
        <v>#REF!</v>
      </c>
      <c r="AD73" s="15" t="e">
        <f>AB73*AC73</f>
        <v>#REF!</v>
      </c>
      <c r="AE73" s="34">
        <f>AB73</f>
        <v>159600</v>
      </c>
      <c r="AF73" s="4" t="e">
        <f>AF72</f>
        <v>#REF!</v>
      </c>
      <c r="AG73" s="15" t="e">
        <f>AE73*AF73</f>
        <v>#REF!</v>
      </c>
      <c r="AH73" s="34">
        <f>AE73</f>
        <v>159600</v>
      </c>
      <c r="AI73" s="4">
        <f>AI72</f>
        <v>26.84</v>
      </c>
      <c r="AJ73" s="15">
        <f>AH73*AI73</f>
        <v>4283664</v>
      </c>
      <c r="AK73" s="34">
        <f>AH73</f>
        <v>159600</v>
      </c>
      <c r="AL73" s="4" t="e">
        <f>AL72</f>
        <v>#REF!</v>
      </c>
      <c r="AM73" s="15" t="e">
        <f>AK73*AL73</f>
        <v>#REF!</v>
      </c>
      <c r="AN73" s="34">
        <f>AK73</f>
        <v>159600</v>
      </c>
      <c r="AO73" s="4" t="e">
        <f>AO72</f>
        <v>#REF!</v>
      </c>
      <c r="AP73" s="15" t="e">
        <f>AN73*AO73</f>
        <v>#REF!</v>
      </c>
      <c r="AQ73" s="72" t="s">
        <v>113</v>
      </c>
    </row>
    <row r="74" spans="1:58" x14ac:dyDescent="0.25">
      <c r="A74" s="5"/>
      <c r="B74" s="227"/>
      <c r="C74" s="210"/>
      <c r="D74" s="208"/>
      <c r="E74" s="209"/>
      <c r="F74" s="210"/>
      <c r="G74" s="224"/>
      <c r="H74" s="225"/>
      <c r="I74" s="226"/>
      <c r="J74" s="68"/>
      <c r="K74" s="69"/>
      <c r="L74" s="70"/>
      <c r="M74" s="68"/>
      <c r="N74" s="69"/>
      <c r="O74" s="70"/>
      <c r="P74" s="68"/>
      <c r="Q74" s="69"/>
      <c r="R74" s="70"/>
      <c r="S74" s="68"/>
      <c r="T74" s="69"/>
      <c r="U74" s="70"/>
      <c r="V74" s="68"/>
      <c r="W74" s="69"/>
      <c r="X74" s="70"/>
      <c r="Y74" s="68"/>
      <c r="Z74" s="69"/>
      <c r="AA74" s="70"/>
      <c r="AB74" s="68"/>
      <c r="AC74" s="69"/>
      <c r="AD74" s="70"/>
      <c r="AE74" s="68"/>
      <c r="AF74" s="69"/>
      <c r="AG74" s="70"/>
      <c r="AH74" s="68"/>
      <c r="AI74" s="69"/>
      <c r="AJ74" s="70"/>
      <c r="AK74" s="68"/>
      <c r="AL74" s="69"/>
      <c r="AM74" s="70"/>
      <c r="AN74" s="68"/>
      <c r="AO74" s="69"/>
      <c r="AP74" s="70"/>
      <c r="AQ74" s="72"/>
    </row>
    <row r="75" spans="1:58" x14ac:dyDescent="0.25">
      <c r="A75" s="5"/>
      <c r="B75" s="206" t="s">
        <v>61</v>
      </c>
      <c r="C75" s="207"/>
      <c r="D75" s="208"/>
      <c r="E75" s="209"/>
      <c r="F75" s="210"/>
      <c r="G75" s="224"/>
      <c r="H75" s="225"/>
      <c r="I75" s="226"/>
      <c r="J75" s="224"/>
      <c r="K75" s="225"/>
      <c r="L75" s="226"/>
      <c r="M75" s="224"/>
      <c r="N75" s="225"/>
      <c r="O75" s="226"/>
      <c r="P75" s="224"/>
      <c r="Q75" s="225"/>
      <c r="R75" s="226"/>
      <c r="S75" s="224"/>
      <c r="T75" s="225"/>
      <c r="U75" s="226"/>
      <c r="V75" s="224"/>
      <c r="W75" s="225"/>
      <c r="X75" s="226"/>
      <c r="Y75" s="224"/>
      <c r="Z75" s="225"/>
      <c r="AA75" s="226"/>
      <c r="AB75" s="224"/>
      <c r="AC75" s="225"/>
      <c r="AD75" s="226"/>
      <c r="AE75" s="224"/>
      <c r="AF75" s="225"/>
      <c r="AG75" s="226"/>
      <c r="AH75" s="224"/>
      <c r="AI75" s="225"/>
      <c r="AJ75" s="226"/>
      <c r="AK75" s="224"/>
      <c r="AL75" s="225"/>
      <c r="AM75" s="226"/>
      <c r="AN75" s="224"/>
      <c r="AO75" s="225"/>
      <c r="AP75" s="226"/>
      <c r="AQ75" s="72"/>
    </row>
    <row r="76" spans="1:58" x14ac:dyDescent="0.25">
      <c r="A76" s="5"/>
      <c r="B76" s="206" t="s">
        <v>47</v>
      </c>
      <c r="C76" s="207"/>
      <c r="D76" s="208"/>
      <c r="E76" s="212"/>
      <c r="F76" s="223"/>
      <c r="G76" s="83"/>
      <c r="H76" s="84"/>
      <c r="I76" s="85"/>
      <c r="J76" s="83"/>
      <c r="K76" s="84"/>
      <c r="L76" s="85"/>
      <c r="M76" s="83"/>
      <c r="N76" s="84"/>
      <c r="O76" s="85"/>
      <c r="P76" s="83"/>
      <c r="Q76" s="84"/>
      <c r="R76" s="85"/>
      <c r="S76" s="83"/>
      <c r="T76" s="84"/>
      <c r="U76" s="85"/>
      <c r="V76" s="83"/>
      <c r="W76" s="84"/>
      <c r="X76" s="85"/>
      <c r="Y76" s="83"/>
      <c r="Z76" s="84"/>
      <c r="AA76" s="85"/>
      <c r="AB76" s="83"/>
      <c r="AC76" s="84"/>
      <c r="AD76" s="85"/>
      <c r="AE76" s="83"/>
      <c r="AF76" s="84"/>
      <c r="AG76" s="85"/>
      <c r="AH76" s="83"/>
      <c r="AI76" s="84"/>
      <c r="AJ76" s="85"/>
      <c r="AK76" s="83"/>
      <c r="AL76" s="84"/>
      <c r="AM76" s="85"/>
      <c r="AN76" s="83"/>
      <c r="AO76" s="84"/>
      <c r="AP76" s="85"/>
      <c r="AQ76" s="72"/>
    </row>
    <row r="77" spans="1:58" ht="17.25" x14ac:dyDescent="0.25">
      <c r="A77" s="5" t="s">
        <v>139</v>
      </c>
      <c r="B77" s="26" t="s">
        <v>140</v>
      </c>
      <c r="C77" s="82" t="s">
        <v>14</v>
      </c>
      <c r="D77" s="52">
        <f>(63.982124-13.5972-11.0748)*10000</f>
        <v>393101.24</v>
      </c>
      <c r="E77" s="10">
        <f>'Itemised Rates - June 2021'!D28</f>
        <v>19.899999999999999</v>
      </c>
      <c r="F77" s="15">
        <f>D77*E77</f>
        <v>7822714.675999999</v>
      </c>
      <c r="G77" s="83"/>
      <c r="H77" s="84"/>
      <c r="I77" s="85"/>
      <c r="J77" s="83"/>
      <c r="K77" s="84"/>
      <c r="L77" s="85"/>
      <c r="M77" s="83"/>
      <c r="N77" s="84"/>
      <c r="O77" s="85"/>
      <c r="P77" s="83"/>
      <c r="Q77" s="84"/>
      <c r="R77" s="85"/>
      <c r="S77" s="83"/>
      <c r="T77" s="84"/>
      <c r="U77" s="85"/>
      <c r="V77" s="83"/>
      <c r="W77" s="84"/>
      <c r="X77" s="85"/>
      <c r="Y77" s="83"/>
      <c r="Z77" s="84"/>
      <c r="AA77" s="85"/>
      <c r="AB77" s="83"/>
      <c r="AC77" s="84"/>
      <c r="AD77" s="85"/>
      <c r="AE77" s="83"/>
      <c r="AF77" s="84"/>
      <c r="AG77" s="85"/>
      <c r="AH77" s="83"/>
      <c r="AI77" s="84"/>
      <c r="AJ77" s="85"/>
      <c r="AK77" s="83"/>
      <c r="AL77" s="84"/>
      <c r="AM77" s="85"/>
      <c r="AN77" s="83"/>
      <c r="AO77" s="84"/>
      <c r="AP77" s="85"/>
      <c r="AQ77" s="72" t="s">
        <v>113</v>
      </c>
    </row>
    <row r="78" spans="1:58" ht="17.25" x14ac:dyDescent="0.25">
      <c r="A78" s="5" t="s">
        <v>139</v>
      </c>
      <c r="B78" s="26" t="s">
        <v>142</v>
      </c>
      <c r="C78" s="82" t="s">
        <v>14</v>
      </c>
      <c r="D78" s="52">
        <f>168083.16</f>
        <v>168083.16</v>
      </c>
      <c r="E78" s="10">
        <f>'Itemised Rates - June 2021'!D28</f>
        <v>19.899999999999999</v>
      </c>
      <c r="F78" s="15">
        <f>D78*E78</f>
        <v>3344854.8839999996</v>
      </c>
      <c r="G78" s="83"/>
      <c r="H78" s="84"/>
      <c r="I78" s="85"/>
      <c r="J78" s="83"/>
      <c r="K78" s="84"/>
      <c r="L78" s="85"/>
      <c r="M78" s="83"/>
      <c r="N78" s="84"/>
      <c r="O78" s="85"/>
      <c r="P78" s="83"/>
      <c r="Q78" s="84"/>
      <c r="R78" s="85"/>
      <c r="S78" s="83"/>
      <c r="T78" s="84"/>
      <c r="U78" s="85"/>
      <c r="V78" s="83"/>
      <c r="W78" s="84"/>
      <c r="X78" s="85"/>
      <c r="Y78" s="83"/>
      <c r="Z78" s="84"/>
      <c r="AA78" s="85"/>
      <c r="AB78" s="83"/>
      <c r="AC78" s="84"/>
      <c r="AD78" s="85"/>
      <c r="AE78" s="83"/>
      <c r="AF78" s="84"/>
      <c r="AG78" s="85"/>
      <c r="AH78" s="83"/>
      <c r="AI78" s="84"/>
      <c r="AJ78" s="85"/>
      <c r="AK78" s="83"/>
      <c r="AL78" s="84"/>
      <c r="AM78" s="85"/>
      <c r="AN78" s="83"/>
      <c r="AO78" s="84"/>
      <c r="AP78" s="85"/>
      <c r="AQ78" s="72" t="s">
        <v>113</v>
      </c>
    </row>
    <row r="79" spans="1:58" ht="17.25" x14ac:dyDescent="0.25">
      <c r="A79" s="5" t="s">
        <v>139</v>
      </c>
      <c r="B79" s="50" t="s">
        <v>143</v>
      </c>
      <c r="C79" s="82" t="s">
        <v>14</v>
      </c>
      <c r="D79" s="52">
        <f>(24.05927-5.5177)*10000</f>
        <v>185415.7</v>
      </c>
      <c r="E79" s="10">
        <f>'Itemised Rates - June 2021'!D28</f>
        <v>19.899999999999999</v>
      </c>
      <c r="F79" s="15">
        <f>D79*E79</f>
        <v>3689772.43</v>
      </c>
      <c r="G79" s="83"/>
      <c r="H79" s="84"/>
      <c r="I79" s="85"/>
      <c r="J79" s="83"/>
      <c r="K79" s="84"/>
      <c r="L79" s="85"/>
      <c r="M79" s="83"/>
      <c r="N79" s="84"/>
      <c r="O79" s="85"/>
      <c r="P79" s="83"/>
      <c r="Q79" s="84"/>
      <c r="R79" s="85"/>
      <c r="S79" s="83"/>
      <c r="T79" s="84"/>
      <c r="U79" s="85"/>
      <c r="V79" s="83"/>
      <c r="W79" s="84"/>
      <c r="X79" s="85"/>
      <c r="Y79" s="83"/>
      <c r="Z79" s="84"/>
      <c r="AA79" s="85"/>
      <c r="AB79" s="83"/>
      <c r="AC79" s="84"/>
      <c r="AD79" s="85"/>
      <c r="AE79" s="83"/>
      <c r="AF79" s="84"/>
      <c r="AG79" s="85"/>
      <c r="AH79" s="83"/>
      <c r="AI79" s="84"/>
      <c r="AJ79" s="85"/>
      <c r="AK79" s="83"/>
      <c r="AL79" s="84"/>
      <c r="AM79" s="85"/>
      <c r="AN79" s="83"/>
      <c r="AO79" s="84"/>
      <c r="AP79" s="85"/>
      <c r="AQ79" s="72" t="s">
        <v>113</v>
      </c>
    </row>
    <row r="80" spans="1:58" x14ac:dyDescent="0.25">
      <c r="A80" s="5"/>
      <c r="B80" s="206" t="s">
        <v>48</v>
      </c>
      <c r="C80" s="207"/>
      <c r="D80" s="208"/>
      <c r="E80" s="209"/>
      <c r="F80" s="210">
        <f t="shared" ref="F80:F85" si="51">D80*E80</f>
        <v>0</v>
      </c>
      <c r="G80" s="224"/>
      <c r="H80" s="225"/>
      <c r="I80" s="226"/>
      <c r="J80" s="224"/>
      <c r="K80" s="225"/>
      <c r="L80" s="226"/>
      <c r="M80" s="224"/>
      <c r="N80" s="225"/>
      <c r="O80" s="226"/>
      <c r="P80" s="224"/>
      <c r="Q80" s="225"/>
      <c r="R80" s="226"/>
      <c r="S80" s="224"/>
      <c r="T80" s="225"/>
      <c r="U80" s="226"/>
      <c r="V80" s="224"/>
      <c r="W80" s="225"/>
      <c r="X80" s="226"/>
      <c r="Y80" s="224"/>
      <c r="Z80" s="225"/>
      <c r="AA80" s="226"/>
      <c r="AB80" s="224"/>
      <c r="AC80" s="225"/>
      <c r="AD80" s="226"/>
      <c r="AE80" s="224"/>
      <c r="AF80" s="225"/>
      <c r="AG80" s="226"/>
      <c r="AH80" s="224"/>
      <c r="AI80" s="225"/>
      <c r="AJ80" s="226"/>
      <c r="AK80" s="224"/>
      <c r="AL80" s="225"/>
      <c r="AM80" s="226"/>
      <c r="AN80" s="224"/>
      <c r="AO80" s="225"/>
      <c r="AP80" s="226"/>
      <c r="AQ80" s="72"/>
    </row>
    <row r="81" spans="1:43" s="7" customFormat="1" ht="17.25" x14ac:dyDescent="0.25">
      <c r="A81" s="77">
        <v>14.1</v>
      </c>
      <c r="B81" s="26" t="s">
        <v>144</v>
      </c>
      <c r="C81" s="54" t="s">
        <v>14</v>
      </c>
      <c r="D81" s="52">
        <f>(((1477962*0.6)+4900+13880)*1.043)-15823-15500-78215</f>
        <v>834958.1595999999</v>
      </c>
      <c r="E81" s="9">
        <f>'Itemised Rates - June 2021'!D28</f>
        <v>19.899999999999999</v>
      </c>
      <c r="F81" s="53">
        <f>D81*E81</f>
        <v>16615667.376039997</v>
      </c>
      <c r="G81" s="71">
        <f>D81*1.007</f>
        <v>840802.86671719979</v>
      </c>
      <c r="H81" s="78" t="e">
        <f>#REF!</f>
        <v>#REF!</v>
      </c>
      <c r="I81" s="53" t="e">
        <f>G81*H81</f>
        <v>#REF!</v>
      </c>
      <c r="J81" s="71">
        <f>G81*1.007</f>
        <v>846688.48678422009</v>
      </c>
      <c r="K81" s="78" t="e">
        <f>#REF!</f>
        <v>#REF!</v>
      </c>
      <c r="L81" s="53" t="e">
        <f>J81*K81</f>
        <v>#REF!</v>
      </c>
      <c r="M81" s="71">
        <f t="shared" ref="M81:M85" si="52">J81</f>
        <v>846688.48678422009</v>
      </c>
      <c r="N81" s="78" t="e">
        <f>#REF!</f>
        <v>#REF!</v>
      </c>
      <c r="O81" s="53" t="e">
        <f>M81*N81</f>
        <v>#REF!</v>
      </c>
      <c r="P81" s="71">
        <f t="shared" ref="P81:P85" si="53">M81</f>
        <v>846688.48678422009</v>
      </c>
      <c r="Q81" s="78" t="e">
        <f>#REF!</f>
        <v>#REF!</v>
      </c>
      <c r="R81" s="53" t="e">
        <f>P81*Q81</f>
        <v>#REF!</v>
      </c>
      <c r="S81" s="71">
        <f t="shared" ref="S81:S85" si="54">P81</f>
        <v>846688.48678422009</v>
      </c>
      <c r="T81" s="78" t="e">
        <f>#REF!</f>
        <v>#REF!</v>
      </c>
      <c r="U81" s="53" t="e">
        <f>S81*T81</f>
        <v>#REF!</v>
      </c>
      <c r="V81" s="71">
        <f t="shared" ref="V81:V85" si="55">S81</f>
        <v>846688.48678422009</v>
      </c>
      <c r="W81" s="78" t="e">
        <f>#REF!</f>
        <v>#REF!</v>
      </c>
      <c r="X81" s="53" t="e">
        <f>V81*W81</f>
        <v>#REF!</v>
      </c>
      <c r="Y81" s="71">
        <f t="shared" ref="Y81:Y85" si="56">V81</f>
        <v>846688.48678422009</v>
      </c>
      <c r="Z81" s="78" t="e">
        <f>#REF!</f>
        <v>#REF!</v>
      </c>
      <c r="AA81" s="53" t="e">
        <f>Y81*Z81</f>
        <v>#REF!</v>
      </c>
      <c r="AB81" s="71">
        <f t="shared" ref="AB81:AB85" si="57">Y81</f>
        <v>846688.48678422009</v>
      </c>
      <c r="AC81" s="78" t="e">
        <f>#REF!</f>
        <v>#REF!</v>
      </c>
      <c r="AD81" s="53" t="e">
        <f>AB81*AC81</f>
        <v>#REF!</v>
      </c>
      <c r="AE81" s="71">
        <f t="shared" ref="AE81:AE85" si="58">AB81</f>
        <v>846688.48678422009</v>
      </c>
      <c r="AF81" s="78" t="e">
        <f>#REF!</f>
        <v>#REF!</v>
      </c>
      <c r="AG81" s="53" t="e">
        <f>AE81*AF81</f>
        <v>#REF!</v>
      </c>
      <c r="AH81" s="71">
        <f t="shared" ref="AH81:AH85" si="59">AE81</f>
        <v>846688.48678422009</v>
      </c>
      <c r="AI81" s="78">
        <f>E81</f>
        <v>19.899999999999999</v>
      </c>
      <c r="AJ81" s="53">
        <f>AH81*AI81</f>
        <v>16849100.887005977</v>
      </c>
      <c r="AK81" s="71">
        <f t="shared" ref="AK81:AK85" si="60">AH81</f>
        <v>846688.48678422009</v>
      </c>
      <c r="AL81" s="78" t="e">
        <f>#REF!</f>
        <v>#REF!</v>
      </c>
      <c r="AM81" s="53" t="e">
        <f>AK81*AL81</f>
        <v>#REF!</v>
      </c>
      <c r="AN81" s="71">
        <f t="shared" ref="AN81:AN85" si="61">AK81</f>
        <v>846688.48678422009</v>
      </c>
      <c r="AO81" s="78" t="e">
        <f>#REF!</f>
        <v>#REF!</v>
      </c>
      <c r="AP81" s="53" t="e">
        <f>AN81*AO81</f>
        <v>#REF!</v>
      </c>
      <c r="AQ81" s="95" t="s">
        <v>113</v>
      </c>
    </row>
    <row r="82" spans="1:43" ht="17.25" x14ac:dyDescent="0.25">
      <c r="A82" s="5">
        <v>14.1</v>
      </c>
      <c r="B82" s="26" t="s">
        <v>145</v>
      </c>
      <c r="C82" s="24" t="s">
        <v>14</v>
      </c>
      <c r="D82" s="42">
        <v>54998.43</v>
      </c>
      <c r="E82" s="10">
        <f>'Itemised Rates - June 2021'!D28</f>
        <v>19.899999999999999</v>
      </c>
      <c r="F82" s="15">
        <f t="shared" si="51"/>
        <v>1094468.757</v>
      </c>
      <c r="G82" s="34">
        <f t="shared" ref="G82:G85" si="62">D82</f>
        <v>54998.43</v>
      </c>
      <c r="H82" s="4" t="e">
        <f>H81</f>
        <v>#REF!</v>
      </c>
      <c r="I82" s="15" t="e">
        <f t="shared" ref="I82:I85" si="63">G82*H82</f>
        <v>#REF!</v>
      </c>
      <c r="J82" s="34">
        <f t="shared" ref="J82:J85" si="64">G82</f>
        <v>54998.43</v>
      </c>
      <c r="K82" s="4" t="e">
        <f>K81</f>
        <v>#REF!</v>
      </c>
      <c r="L82" s="15" t="e">
        <f t="shared" ref="L82:L85" si="65">J82*K82</f>
        <v>#REF!</v>
      </c>
      <c r="M82" s="34">
        <f t="shared" si="52"/>
        <v>54998.43</v>
      </c>
      <c r="N82" s="4" t="e">
        <f>N81</f>
        <v>#REF!</v>
      </c>
      <c r="O82" s="15" t="e">
        <f t="shared" ref="O82:O85" si="66">M82*N82</f>
        <v>#REF!</v>
      </c>
      <c r="P82" s="34">
        <f t="shared" si="53"/>
        <v>54998.43</v>
      </c>
      <c r="Q82" s="4" t="e">
        <f>Q81</f>
        <v>#REF!</v>
      </c>
      <c r="R82" s="15" t="e">
        <f t="shared" ref="R82:R85" si="67">P82*Q82</f>
        <v>#REF!</v>
      </c>
      <c r="S82" s="34">
        <f t="shared" si="54"/>
        <v>54998.43</v>
      </c>
      <c r="T82" s="4" t="e">
        <f>T81</f>
        <v>#REF!</v>
      </c>
      <c r="U82" s="15" t="e">
        <f t="shared" ref="U82:U85" si="68">S82*T82</f>
        <v>#REF!</v>
      </c>
      <c r="V82" s="34">
        <f t="shared" si="55"/>
        <v>54998.43</v>
      </c>
      <c r="W82" s="4" t="e">
        <f>W81</f>
        <v>#REF!</v>
      </c>
      <c r="X82" s="15" t="e">
        <f t="shared" ref="X82:X85" si="69">V82*W82</f>
        <v>#REF!</v>
      </c>
      <c r="Y82" s="34">
        <f t="shared" si="56"/>
        <v>54998.43</v>
      </c>
      <c r="Z82" s="4" t="e">
        <f>Z81</f>
        <v>#REF!</v>
      </c>
      <c r="AA82" s="15" t="e">
        <f t="shared" ref="AA82:AA85" si="70">Y82*Z82</f>
        <v>#REF!</v>
      </c>
      <c r="AB82" s="34">
        <f t="shared" si="57"/>
        <v>54998.43</v>
      </c>
      <c r="AC82" s="4" t="e">
        <f>AC81</f>
        <v>#REF!</v>
      </c>
      <c r="AD82" s="15" t="e">
        <f t="shared" ref="AD82:AD85" si="71">AB82*AC82</f>
        <v>#REF!</v>
      </c>
      <c r="AE82" s="34">
        <f t="shared" si="58"/>
        <v>54998.43</v>
      </c>
      <c r="AF82" s="4" t="e">
        <f>AF81</f>
        <v>#REF!</v>
      </c>
      <c r="AG82" s="15" t="e">
        <f t="shared" ref="AG82:AG85" si="72">AE82*AF82</f>
        <v>#REF!</v>
      </c>
      <c r="AH82" s="34">
        <f t="shared" si="59"/>
        <v>54998.43</v>
      </c>
      <c r="AI82" s="4">
        <f>AI81</f>
        <v>19.899999999999999</v>
      </c>
      <c r="AJ82" s="15">
        <f t="shared" ref="AJ82:AJ85" si="73">AH82*AI82</f>
        <v>1094468.757</v>
      </c>
      <c r="AK82" s="34">
        <f t="shared" si="60"/>
        <v>54998.43</v>
      </c>
      <c r="AL82" s="4" t="e">
        <f>AL81</f>
        <v>#REF!</v>
      </c>
      <c r="AM82" s="15" t="e">
        <f t="shared" ref="AM82:AM85" si="74">AK82*AL82</f>
        <v>#REF!</v>
      </c>
      <c r="AN82" s="34">
        <f t="shared" si="61"/>
        <v>54998.43</v>
      </c>
      <c r="AO82" s="4" t="e">
        <f>AO81</f>
        <v>#REF!</v>
      </c>
      <c r="AP82" s="15" t="e">
        <f t="shared" ref="AP82:AP85" si="75">AN82*AO82</f>
        <v>#REF!</v>
      </c>
      <c r="AQ82" s="72" t="s">
        <v>113</v>
      </c>
    </row>
    <row r="83" spans="1:43" ht="17.25" x14ac:dyDescent="0.25">
      <c r="A83" s="5">
        <v>14.1</v>
      </c>
      <c r="B83" s="26" t="s">
        <v>62</v>
      </c>
      <c r="C83" s="24" t="s">
        <v>14</v>
      </c>
      <c r="D83" s="52">
        <v>812967.27</v>
      </c>
      <c r="E83" s="10">
        <f>'Itemised Rates - June 2021'!D28</f>
        <v>19.899999999999999</v>
      </c>
      <c r="F83" s="15">
        <f t="shared" si="51"/>
        <v>16178048.672999999</v>
      </c>
      <c r="G83" s="34">
        <f>D83*1.007</f>
        <v>818658.04088999995</v>
      </c>
      <c r="H83" s="4" t="e">
        <f>H81</f>
        <v>#REF!</v>
      </c>
      <c r="I83" s="15" t="e">
        <f t="shared" si="63"/>
        <v>#REF!</v>
      </c>
      <c r="J83" s="34">
        <f>G83*1.007</f>
        <v>824388.64717622986</v>
      </c>
      <c r="K83" s="4" t="e">
        <f>K81</f>
        <v>#REF!</v>
      </c>
      <c r="L83" s="15" t="e">
        <f t="shared" si="65"/>
        <v>#REF!</v>
      </c>
      <c r="M83" s="34">
        <f>J83*1.007</f>
        <v>830159.36770646344</v>
      </c>
      <c r="N83" s="4" t="e">
        <f>N81</f>
        <v>#REF!</v>
      </c>
      <c r="O83" s="15" t="e">
        <f t="shared" si="66"/>
        <v>#REF!</v>
      </c>
      <c r="P83" s="71">
        <f>M83*1.007</f>
        <v>835970.48328040855</v>
      </c>
      <c r="Q83" s="4" t="e">
        <f>Q81</f>
        <v>#REF!</v>
      </c>
      <c r="R83" s="15" t="e">
        <f t="shared" si="67"/>
        <v>#REF!</v>
      </c>
      <c r="S83" s="34">
        <f>P83*1.007</f>
        <v>841822.27666337136</v>
      </c>
      <c r="T83" s="4" t="e">
        <f>T81</f>
        <v>#REF!</v>
      </c>
      <c r="U83" s="15" t="e">
        <f t="shared" si="68"/>
        <v>#REF!</v>
      </c>
      <c r="V83" s="34">
        <f>S83</f>
        <v>841822.27666337136</v>
      </c>
      <c r="W83" s="4" t="e">
        <f>W81</f>
        <v>#REF!</v>
      </c>
      <c r="X83" s="15" t="e">
        <f t="shared" si="69"/>
        <v>#REF!</v>
      </c>
      <c r="Y83" s="34">
        <f>V83</f>
        <v>841822.27666337136</v>
      </c>
      <c r="Z83" s="4" t="e">
        <f>Z81</f>
        <v>#REF!</v>
      </c>
      <c r="AA83" s="15" t="e">
        <f t="shared" si="70"/>
        <v>#REF!</v>
      </c>
      <c r="AB83" s="71">
        <f t="shared" si="57"/>
        <v>841822.27666337136</v>
      </c>
      <c r="AC83" s="4" t="e">
        <f>AC81</f>
        <v>#REF!</v>
      </c>
      <c r="AD83" s="15" t="e">
        <f t="shared" si="71"/>
        <v>#REF!</v>
      </c>
      <c r="AE83" s="34">
        <f t="shared" si="58"/>
        <v>841822.27666337136</v>
      </c>
      <c r="AF83" s="4" t="e">
        <f>AF81</f>
        <v>#REF!</v>
      </c>
      <c r="AG83" s="15" t="e">
        <f t="shared" si="72"/>
        <v>#REF!</v>
      </c>
      <c r="AH83" s="34">
        <f t="shared" si="59"/>
        <v>841822.27666337136</v>
      </c>
      <c r="AI83" s="4">
        <f>AI81</f>
        <v>19.899999999999999</v>
      </c>
      <c r="AJ83" s="15">
        <f t="shared" si="73"/>
        <v>16752263.305601088</v>
      </c>
      <c r="AK83" s="34">
        <f t="shared" si="60"/>
        <v>841822.27666337136</v>
      </c>
      <c r="AL83" s="4" t="e">
        <f>AL81</f>
        <v>#REF!</v>
      </c>
      <c r="AM83" s="15" t="e">
        <f t="shared" si="74"/>
        <v>#REF!</v>
      </c>
      <c r="AN83" s="34">
        <f t="shared" si="61"/>
        <v>841822.27666337136</v>
      </c>
      <c r="AO83" s="4" t="e">
        <f>AO81</f>
        <v>#REF!</v>
      </c>
      <c r="AP83" s="15" t="e">
        <f t="shared" si="75"/>
        <v>#REF!</v>
      </c>
      <c r="AQ83" s="72" t="s">
        <v>113</v>
      </c>
    </row>
    <row r="84" spans="1:43" ht="17.25" x14ac:dyDescent="0.25">
      <c r="A84" s="5">
        <v>14.1</v>
      </c>
      <c r="B84" s="26" t="s">
        <v>63</v>
      </c>
      <c r="C84" s="24" t="s">
        <v>14</v>
      </c>
      <c r="D84" s="52">
        <f>54635+30000+17606+24741</f>
        <v>126982</v>
      </c>
      <c r="E84" s="10">
        <f>'Itemised Rates - June 2021'!D28</f>
        <v>19.899999999999999</v>
      </c>
      <c r="F84" s="15">
        <f t="shared" si="51"/>
        <v>2526941.7999999998</v>
      </c>
      <c r="G84" s="34">
        <f t="shared" si="62"/>
        <v>126982</v>
      </c>
      <c r="H84" s="4" t="e">
        <f>H81</f>
        <v>#REF!</v>
      </c>
      <c r="I84" s="15" t="e">
        <f t="shared" si="63"/>
        <v>#REF!</v>
      </c>
      <c r="J84" s="34">
        <f t="shared" si="64"/>
        <v>126982</v>
      </c>
      <c r="K84" s="4" t="e">
        <f>K81</f>
        <v>#REF!</v>
      </c>
      <c r="L84" s="15" t="e">
        <f t="shared" si="65"/>
        <v>#REF!</v>
      </c>
      <c r="M84" s="34">
        <f t="shared" si="52"/>
        <v>126982</v>
      </c>
      <c r="N84" s="4" t="e">
        <f>N81</f>
        <v>#REF!</v>
      </c>
      <c r="O84" s="15" t="e">
        <f t="shared" si="66"/>
        <v>#REF!</v>
      </c>
      <c r="P84" s="34">
        <f t="shared" si="53"/>
        <v>126982</v>
      </c>
      <c r="Q84" s="4" t="e">
        <f>Q81</f>
        <v>#REF!</v>
      </c>
      <c r="R84" s="15" t="e">
        <f t="shared" si="67"/>
        <v>#REF!</v>
      </c>
      <c r="S84" s="34">
        <f t="shared" si="54"/>
        <v>126982</v>
      </c>
      <c r="T84" s="4" t="e">
        <f>T81</f>
        <v>#REF!</v>
      </c>
      <c r="U84" s="15" t="e">
        <f t="shared" si="68"/>
        <v>#REF!</v>
      </c>
      <c r="V84" s="34">
        <f t="shared" si="55"/>
        <v>126982</v>
      </c>
      <c r="W84" s="4" t="e">
        <f>W81</f>
        <v>#REF!</v>
      </c>
      <c r="X84" s="15" t="e">
        <f t="shared" si="69"/>
        <v>#REF!</v>
      </c>
      <c r="Y84" s="34">
        <f t="shared" si="56"/>
        <v>126982</v>
      </c>
      <c r="Z84" s="4" t="e">
        <f>Z81</f>
        <v>#REF!</v>
      </c>
      <c r="AA84" s="15" t="e">
        <f t="shared" si="70"/>
        <v>#REF!</v>
      </c>
      <c r="AB84" s="34">
        <f t="shared" si="57"/>
        <v>126982</v>
      </c>
      <c r="AC84" s="4" t="e">
        <f>AC81</f>
        <v>#REF!</v>
      </c>
      <c r="AD84" s="15" t="e">
        <f t="shared" si="71"/>
        <v>#REF!</v>
      </c>
      <c r="AE84" s="34">
        <f t="shared" si="58"/>
        <v>126982</v>
      </c>
      <c r="AF84" s="4" t="e">
        <f>AF81</f>
        <v>#REF!</v>
      </c>
      <c r="AG84" s="15" t="e">
        <f t="shared" si="72"/>
        <v>#REF!</v>
      </c>
      <c r="AH84" s="34">
        <f t="shared" si="59"/>
        <v>126982</v>
      </c>
      <c r="AI84" s="4">
        <f>AI81</f>
        <v>19.899999999999999</v>
      </c>
      <c r="AJ84" s="15">
        <f t="shared" si="73"/>
        <v>2526941.7999999998</v>
      </c>
      <c r="AK84" s="34">
        <f t="shared" si="60"/>
        <v>126982</v>
      </c>
      <c r="AL84" s="4" t="e">
        <f>AL81</f>
        <v>#REF!</v>
      </c>
      <c r="AM84" s="15" t="e">
        <f t="shared" si="74"/>
        <v>#REF!</v>
      </c>
      <c r="AN84" s="34">
        <f t="shared" si="61"/>
        <v>126982</v>
      </c>
      <c r="AO84" s="4" t="e">
        <f>AO81</f>
        <v>#REF!</v>
      </c>
      <c r="AP84" s="15" t="e">
        <f t="shared" si="75"/>
        <v>#REF!</v>
      </c>
      <c r="AQ84" s="72" t="s">
        <v>113</v>
      </c>
    </row>
    <row r="85" spans="1:43" ht="17.25" x14ac:dyDescent="0.25">
      <c r="A85" s="5">
        <v>14.1</v>
      </c>
      <c r="B85" s="26" t="s">
        <v>89</v>
      </c>
      <c r="C85" s="24" t="s">
        <v>14</v>
      </c>
      <c r="D85" s="42">
        <v>21531</v>
      </c>
      <c r="E85" s="10">
        <f>'Itemised Rates - June 2021'!D28</f>
        <v>19.899999999999999</v>
      </c>
      <c r="F85" s="15">
        <f t="shared" si="51"/>
        <v>428466.89999999997</v>
      </c>
      <c r="G85" s="34">
        <f t="shared" si="62"/>
        <v>21531</v>
      </c>
      <c r="H85" s="4" t="e">
        <f>H81</f>
        <v>#REF!</v>
      </c>
      <c r="I85" s="15" t="e">
        <f t="shared" si="63"/>
        <v>#REF!</v>
      </c>
      <c r="J85" s="34">
        <f t="shared" si="64"/>
        <v>21531</v>
      </c>
      <c r="K85" s="4" t="e">
        <f>K81</f>
        <v>#REF!</v>
      </c>
      <c r="L85" s="15" t="e">
        <f t="shared" si="65"/>
        <v>#REF!</v>
      </c>
      <c r="M85" s="34">
        <f t="shared" si="52"/>
        <v>21531</v>
      </c>
      <c r="N85" s="4" t="e">
        <f>N81</f>
        <v>#REF!</v>
      </c>
      <c r="O85" s="15" t="e">
        <f t="shared" si="66"/>
        <v>#REF!</v>
      </c>
      <c r="P85" s="34">
        <f t="shared" si="53"/>
        <v>21531</v>
      </c>
      <c r="Q85" s="4" t="e">
        <f>Q81</f>
        <v>#REF!</v>
      </c>
      <c r="R85" s="15" t="e">
        <f t="shared" si="67"/>
        <v>#REF!</v>
      </c>
      <c r="S85" s="34">
        <f t="shared" si="54"/>
        <v>21531</v>
      </c>
      <c r="T85" s="4" t="e">
        <f>T81</f>
        <v>#REF!</v>
      </c>
      <c r="U85" s="15" t="e">
        <f t="shared" si="68"/>
        <v>#REF!</v>
      </c>
      <c r="V85" s="34">
        <f t="shared" si="55"/>
        <v>21531</v>
      </c>
      <c r="W85" s="4" t="e">
        <f>W81</f>
        <v>#REF!</v>
      </c>
      <c r="X85" s="15" t="e">
        <f t="shared" si="69"/>
        <v>#REF!</v>
      </c>
      <c r="Y85" s="34">
        <f t="shared" si="56"/>
        <v>21531</v>
      </c>
      <c r="Z85" s="4" t="e">
        <f>Z81</f>
        <v>#REF!</v>
      </c>
      <c r="AA85" s="15" t="e">
        <f t="shared" si="70"/>
        <v>#REF!</v>
      </c>
      <c r="AB85" s="34">
        <f t="shared" si="57"/>
        <v>21531</v>
      </c>
      <c r="AC85" s="4" t="e">
        <f>AC81</f>
        <v>#REF!</v>
      </c>
      <c r="AD85" s="15" t="e">
        <f t="shared" si="71"/>
        <v>#REF!</v>
      </c>
      <c r="AE85" s="34">
        <f t="shared" si="58"/>
        <v>21531</v>
      </c>
      <c r="AF85" s="4" t="e">
        <f>AF81</f>
        <v>#REF!</v>
      </c>
      <c r="AG85" s="15" t="e">
        <f t="shared" si="72"/>
        <v>#REF!</v>
      </c>
      <c r="AH85" s="34">
        <f t="shared" si="59"/>
        <v>21531</v>
      </c>
      <c r="AI85" s="4">
        <f>AI81</f>
        <v>19.899999999999999</v>
      </c>
      <c r="AJ85" s="15">
        <f t="shared" si="73"/>
        <v>428466.89999999997</v>
      </c>
      <c r="AK85" s="34">
        <f t="shared" si="60"/>
        <v>21531</v>
      </c>
      <c r="AL85" s="4" t="e">
        <f>AL81</f>
        <v>#REF!</v>
      </c>
      <c r="AM85" s="15" t="e">
        <f t="shared" si="74"/>
        <v>#REF!</v>
      </c>
      <c r="AN85" s="34">
        <f t="shared" si="61"/>
        <v>21531</v>
      </c>
      <c r="AO85" s="4" t="e">
        <f>AO81</f>
        <v>#REF!</v>
      </c>
      <c r="AP85" s="15" t="e">
        <f t="shared" si="75"/>
        <v>#REF!</v>
      </c>
      <c r="AQ85" s="72" t="s">
        <v>113</v>
      </c>
    </row>
    <row r="86" spans="1:43" x14ac:dyDescent="0.25">
      <c r="A86" s="5">
        <v>14.1</v>
      </c>
      <c r="B86" s="26" t="s">
        <v>155</v>
      </c>
      <c r="C86" s="93" t="s">
        <v>156</v>
      </c>
      <c r="D86" s="94">
        <v>17757</v>
      </c>
      <c r="E86" s="10">
        <f>'Itemised Rates - June 2021'!D28</f>
        <v>19.899999999999999</v>
      </c>
      <c r="F86" s="15">
        <f t="shared" ref="F86" si="76">D86*E86</f>
        <v>353364.3</v>
      </c>
      <c r="G86" s="45"/>
      <c r="H86" s="46"/>
      <c r="I86" s="51"/>
      <c r="J86" s="45"/>
      <c r="K86" s="46"/>
      <c r="L86" s="51"/>
      <c r="M86" s="45"/>
      <c r="N86" s="46"/>
      <c r="O86" s="51"/>
      <c r="P86" s="45"/>
      <c r="Q86" s="46"/>
      <c r="R86" s="51"/>
      <c r="S86" s="45"/>
      <c r="T86" s="46"/>
      <c r="U86" s="51"/>
      <c r="V86" s="45"/>
      <c r="W86" s="46"/>
      <c r="X86" s="51"/>
      <c r="Y86" s="45"/>
      <c r="Z86" s="46"/>
      <c r="AA86" s="51"/>
      <c r="AB86" s="45"/>
      <c r="AC86" s="46"/>
      <c r="AD86" s="51"/>
      <c r="AE86" s="45"/>
      <c r="AF86" s="46"/>
      <c r="AG86" s="51"/>
      <c r="AH86" s="45"/>
      <c r="AI86" s="46"/>
      <c r="AJ86" s="51"/>
      <c r="AK86" s="45"/>
      <c r="AL86" s="46"/>
      <c r="AM86" s="51"/>
      <c r="AN86" s="45"/>
      <c r="AO86" s="46"/>
      <c r="AP86" s="51"/>
      <c r="AQ86" s="72" t="s">
        <v>113</v>
      </c>
    </row>
    <row r="87" spans="1:43" x14ac:dyDescent="0.25">
      <c r="A87" s="5"/>
      <c r="B87" s="213" t="s">
        <v>81</v>
      </c>
      <c r="C87" s="214"/>
      <c r="D87" s="215"/>
      <c r="E87" s="217"/>
      <c r="F87" s="218"/>
      <c r="G87" s="228"/>
      <c r="H87" s="229"/>
      <c r="I87" s="230"/>
      <c r="J87" s="228"/>
      <c r="K87" s="229"/>
      <c r="L87" s="230"/>
      <c r="M87" s="228"/>
      <c r="N87" s="229"/>
      <c r="O87" s="230"/>
      <c r="P87" s="228"/>
      <c r="Q87" s="229"/>
      <c r="R87" s="230"/>
      <c r="S87" s="228"/>
      <c r="T87" s="229"/>
      <c r="U87" s="230"/>
      <c r="V87" s="228"/>
      <c r="W87" s="229"/>
      <c r="X87" s="230"/>
      <c r="Y87" s="228"/>
      <c r="Z87" s="229"/>
      <c r="AA87" s="230"/>
      <c r="AB87" s="228"/>
      <c r="AC87" s="229"/>
      <c r="AD87" s="230"/>
      <c r="AE87" s="228"/>
      <c r="AF87" s="229"/>
      <c r="AG87" s="230"/>
      <c r="AH87" s="228"/>
      <c r="AI87" s="229"/>
      <c r="AJ87" s="230"/>
      <c r="AK87" s="228"/>
      <c r="AL87" s="229"/>
      <c r="AM87" s="230"/>
      <c r="AN87" s="228"/>
      <c r="AO87" s="229"/>
      <c r="AP87" s="230"/>
      <c r="AQ87" s="72"/>
    </row>
    <row r="88" spans="1:43" x14ac:dyDescent="0.25">
      <c r="A88" s="5"/>
      <c r="B88" s="206" t="s">
        <v>47</v>
      </c>
      <c r="C88" s="207"/>
      <c r="D88" s="208"/>
      <c r="E88" s="209"/>
      <c r="F88" s="210"/>
      <c r="G88" s="195"/>
      <c r="H88" s="212"/>
      <c r="I88" s="223"/>
      <c r="J88" s="195"/>
      <c r="K88" s="212"/>
      <c r="L88" s="223"/>
      <c r="M88" s="195"/>
      <c r="N88" s="212"/>
      <c r="O88" s="223"/>
      <c r="P88" s="195"/>
      <c r="Q88" s="212"/>
      <c r="R88" s="223"/>
      <c r="S88" s="195"/>
      <c r="T88" s="212"/>
      <c r="U88" s="223"/>
      <c r="V88" s="195"/>
      <c r="W88" s="212"/>
      <c r="X88" s="223"/>
      <c r="Y88" s="195"/>
      <c r="Z88" s="212"/>
      <c r="AA88" s="223"/>
      <c r="AB88" s="195"/>
      <c r="AC88" s="212"/>
      <c r="AD88" s="223"/>
      <c r="AE88" s="195"/>
      <c r="AF88" s="212"/>
      <c r="AG88" s="223"/>
      <c r="AH88" s="195"/>
      <c r="AI88" s="212"/>
      <c r="AJ88" s="223"/>
      <c r="AK88" s="195"/>
      <c r="AL88" s="212"/>
      <c r="AM88" s="223"/>
      <c r="AN88" s="195"/>
      <c r="AO88" s="212"/>
      <c r="AP88" s="223"/>
      <c r="AQ88" s="72"/>
    </row>
    <row r="89" spans="1:43" ht="17.25" x14ac:dyDescent="0.25">
      <c r="A89" s="5">
        <v>6.3</v>
      </c>
      <c r="B89" s="28" t="str">
        <f>'Itemised Rates - June 2021'!B12</f>
        <v>Cut hazardous material to hazardous disposal site</v>
      </c>
      <c r="C89" s="54" t="s">
        <v>15</v>
      </c>
      <c r="D89" s="52">
        <f>20*20*1</f>
        <v>400</v>
      </c>
      <c r="E89" s="10">
        <f>'Itemised Rates - June 2021'!D12</f>
        <v>1627.11</v>
      </c>
      <c r="F89" s="15">
        <f>D89*E89</f>
        <v>650844</v>
      </c>
      <c r="G89" s="45">
        <f>D89</f>
        <v>400</v>
      </c>
      <c r="H89" s="4" t="e">
        <f>#REF!</f>
        <v>#REF!</v>
      </c>
      <c r="I89" s="51" t="e">
        <f>G89*H89</f>
        <v>#REF!</v>
      </c>
      <c r="J89" s="45">
        <f>G89</f>
        <v>400</v>
      </c>
      <c r="K89" s="4" t="e">
        <f>#REF!</f>
        <v>#REF!</v>
      </c>
      <c r="L89" s="46" t="e">
        <f>J89*K89</f>
        <v>#REF!</v>
      </c>
      <c r="M89" s="45">
        <f>J89</f>
        <v>400</v>
      </c>
      <c r="N89" s="4" t="e">
        <f>#REF!</f>
        <v>#REF!</v>
      </c>
      <c r="O89" s="46" t="e">
        <f>M89*N89</f>
        <v>#REF!</v>
      </c>
      <c r="P89" s="45">
        <f>M89</f>
        <v>400</v>
      </c>
      <c r="Q89" s="4" t="e">
        <f>#REF!</f>
        <v>#REF!</v>
      </c>
      <c r="R89" s="46" t="e">
        <f>P89*Q89</f>
        <v>#REF!</v>
      </c>
      <c r="S89" s="45">
        <f>P89</f>
        <v>400</v>
      </c>
      <c r="T89" s="4" t="e">
        <f>#REF!</f>
        <v>#REF!</v>
      </c>
      <c r="U89" s="46" t="e">
        <f>S89*T89</f>
        <v>#REF!</v>
      </c>
      <c r="V89" s="45">
        <f>S89</f>
        <v>400</v>
      </c>
      <c r="W89" s="4" t="e">
        <f>#REF!</f>
        <v>#REF!</v>
      </c>
      <c r="X89" s="46" t="e">
        <f>V89*W89</f>
        <v>#REF!</v>
      </c>
      <c r="Y89" s="45">
        <f>V89</f>
        <v>400</v>
      </c>
      <c r="Z89" s="4" t="e">
        <f>#REF!</f>
        <v>#REF!</v>
      </c>
      <c r="AA89" s="46" t="e">
        <f>Y89*Z89</f>
        <v>#REF!</v>
      </c>
      <c r="AB89" s="45">
        <f>Y89</f>
        <v>400</v>
      </c>
      <c r="AC89" s="4" t="e">
        <f>#REF!</f>
        <v>#REF!</v>
      </c>
      <c r="AD89" s="46" t="e">
        <f>AB89*AC89</f>
        <v>#REF!</v>
      </c>
      <c r="AE89" s="45">
        <f>AB89</f>
        <v>400</v>
      </c>
      <c r="AF89" s="4" t="e">
        <f>#REF!</f>
        <v>#REF!</v>
      </c>
      <c r="AG89" s="46" t="e">
        <f>AE89*AF89</f>
        <v>#REF!</v>
      </c>
      <c r="AH89" s="45">
        <f>AE89</f>
        <v>400</v>
      </c>
      <c r="AI89" s="4">
        <f>E89</f>
        <v>1627.11</v>
      </c>
      <c r="AJ89" s="46">
        <f>AH89*AI89</f>
        <v>650844</v>
      </c>
      <c r="AK89" s="45">
        <f>AH89</f>
        <v>400</v>
      </c>
      <c r="AL89" s="4" t="e">
        <f>#REF!</f>
        <v>#REF!</v>
      </c>
      <c r="AM89" s="46" t="e">
        <f>AK89*AL89</f>
        <v>#REF!</v>
      </c>
      <c r="AN89" s="45">
        <f>AK89</f>
        <v>400</v>
      </c>
      <c r="AO89" s="4" t="e">
        <f>#REF!</f>
        <v>#REF!</v>
      </c>
      <c r="AP89" s="46" t="e">
        <f>AN89*AO89</f>
        <v>#REF!</v>
      </c>
      <c r="AQ89" s="72" t="s">
        <v>113</v>
      </c>
    </row>
    <row r="90" spans="1:43" x14ac:dyDescent="0.25">
      <c r="A90" s="5"/>
      <c r="B90" s="206" t="s">
        <v>48</v>
      </c>
      <c r="C90" s="207"/>
      <c r="D90" s="208"/>
      <c r="E90" s="209"/>
      <c r="F90" s="210"/>
      <c r="G90" s="195"/>
      <c r="H90" s="212"/>
      <c r="I90" s="223"/>
      <c r="J90" s="195"/>
      <c r="K90" s="212"/>
      <c r="L90" s="223"/>
      <c r="M90" s="195"/>
      <c r="N90" s="212"/>
      <c r="O90" s="223"/>
      <c r="P90" s="195"/>
      <c r="Q90" s="212"/>
      <c r="R90" s="223"/>
      <c r="S90" s="195"/>
      <c r="T90" s="212"/>
      <c r="U90" s="223"/>
      <c r="V90" s="195"/>
      <c r="W90" s="212"/>
      <c r="X90" s="223"/>
      <c r="Y90" s="195"/>
      <c r="Z90" s="212"/>
      <c r="AA90" s="223"/>
      <c r="AB90" s="195"/>
      <c r="AC90" s="212"/>
      <c r="AD90" s="223"/>
      <c r="AE90" s="195"/>
      <c r="AF90" s="212"/>
      <c r="AG90" s="223"/>
      <c r="AH90" s="195"/>
      <c r="AI90" s="212"/>
      <c r="AJ90" s="223"/>
      <c r="AK90" s="195"/>
      <c r="AL90" s="212"/>
      <c r="AM90" s="223"/>
      <c r="AN90" s="195"/>
      <c r="AO90" s="212"/>
      <c r="AP90" s="223"/>
      <c r="AQ90" s="72"/>
    </row>
    <row r="91" spans="1:43" ht="17.25" x14ac:dyDescent="0.25">
      <c r="A91" s="5">
        <v>6.3</v>
      </c>
      <c r="B91" s="28" t="str">
        <f>'Itemised Rates - June 2021'!B12</f>
        <v>Cut hazardous material to hazardous disposal site</v>
      </c>
      <c r="C91" s="54" t="s">
        <v>15</v>
      </c>
      <c r="D91" s="52">
        <f>20*20*1</f>
        <v>400</v>
      </c>
      <c r="E91" s="10">
        <f>'Itemised Rates - June 2021'!D12</f>
        <v>1627.11</v>
      </c>
      <c r="F91" s="15">
        <f>D91*E91</f>
        <v>650844</v>
      </c>
      <c r="G91" s="45">
        <f>D91</f>
        <v>400</v>
      </c>
      <c r="H91" s="4" t="e">
        <f>H89</f>
        <v>#REF!</v>
      </c>
      <c r="I91" s="51" t="e">
        <f>G91*H91</f>
        <v>#REF!</v>
      </c>
      <c r="J91" s="45">
        <f>G91</f>
        <v>400</v>
      </c>
      <c r="K91" s="4" t="e">
        <f>K89</f>
        <v>#REF!</v>
      </c>
      <c r="L91" s="46" t="e">
        <f>J91*K91</f>
        <v>#REF!</v>
      </c>
      <c r="M91" s="45">
        <f>J91</f>
        <v>400</v>
      </c>
      <c r="N91" s="4" t="e">
        <f>N89</f>
        <v>#REF!</v>
      </c>
      <c r="O91" s="46" t="e">
        <f>M91*N91</f>
        <v>#REF!</v>
      </c>
      <c r="P91" s="45">
        <f>M91</f>
        <v>400</v>
      </c>
      <c r="Q91" s="4" t="e">
        <f>Q89</f>
        <v>#REF!</v>
      </c>
      <c r="R91" s="46" t="e">
        <f>P91*Q91</f>
        <v>#REF!</v>
      </c>
      <c r="S91" s="45">
        <f>P91</f>
        <v>400</v>
      </c>
      <c r="T91" s="4" t="e">
        <f>T89</f>
        <v>#REF!</v>
      </c>
      <c r="U91" s="46" t="e">
        <f>S91*T91</f>
        <v>#REF!</v>
      </c>
      <c r="V91" s="45">
        <f>S91</f>
        <v>400</v>
      </c>
      <c r="W91" s="4" t="e">
        <f>W89</f>
        <v>#REF!</v>
      </c>
      <c r="X91" s="46" t="e">
        <f>V91*W91</f>
        <v>#REF!</v>
      </c>
      <c r="Y91" s="45">
        <f>V91</f>
        <v>400</v>
      </c>
      <c r="Z91" s="4" t="e">
        <f>Z89</f>
        <v>#REF!</v>
      </c>
      <c r="AA91" s="46" t="e">
        <f>Y91*Z91</f>
        <v>#REF!</v>
      </c>
      <c r="AB91" s="45">
        <f>Y91</f>
        <v>400</v>
      </c>
      <c r="AC91" s="4" t="e">
        <f>AC89</f>
        <v>#REF!</v>
      </c>
      <c r="AD91" s="46" t="e">
        <f>AB91*AC91</f>
        <v>#REF!</v>
      </c>
      <c r="AE91" s="45">
        <f>AB91</f>
        <v>400</v>
      </c>
      <c r="AF91" s="4" t="e">
        <f>AF89</f>
        <v>#REF!</v>
      </c>
      <c r="AG91" s="46" t="e">
        <f>AE91*AF91</f>
        <v>#REF!</v>
      </c>
      <c r="AH91" s="45">
        <f>AE91</f>
        <v>400</v>
      </c>
      <c r="AI91" s="4">
        <f>AI89</f>
        <v>1627.11</v>
      </c>
      <c r="AJ91" s="46">
        <f>AH91*AI91</f>
        <v>650844</v>
      </c>
      <c r="AK91" s="45">
        <f>AH91</f>
        <v>400</v>
      </c>
      <c r="AL91" s="4" t="e">
        <f>AL89</f>
        <v>#REF!</v>
      </c>
      <c r="AM91" s="46" t="e">
        <f>AK91*AL91</f>
        <v>#REF!</v>
      </c>
      <c r="AN91" s="45">
        <f>AK91</f>
        <v>400</v>
      </c>
      <c r="AO91" s="4" t="e">
        <f>AO89</f>
        <v>#REF!</v>
      </c>
      <c r="AP91" s="46" t="e">
        <f>AN91*AO91</f>
        <v>#REF!</v>
      </c>
      <c r="AQ91" s="72" t="s">
        <v>113</v>
      </c>
    </row>
    <row r="92" spans="1:43" x14ac:dyDescent="0.25">
      <c r="A92" s="2"/>
      <c r="B92" s="213" t="s">
        <v>27</v>
      </c>
      <c r="C92" s="214"/>
      <c r="D92" s="215"/>
      <c r="E92" s="217"/>
      <c r="F92" s="218"/>
      <c r="G92" s="228"/>
      <c r="H92" s="229"/>
      <c r="I92" s="230"/>
      <c r="J92" s="35"/>
      <c r="K92" s="36"/>
      <c r="L92" s="40"/>
      <c r="M92" s="35"/>
      <c r="N92" s="36"/>
      <c r="O92" s="40"/>
      <c r="P92" s="35"/>
      <c r="Q92" s="36"/>
      <c r="R92" s="40"/>
      <c r="S92" s="35"/>
      <c r="T92" s="36"/>
      <c r="U92" s="40"/>
      <c r="V92" s="35"/>
      <c r="W92" s="36"/>
      <c r="X92" s="40"/>
      <c r="Y92" s="35"/>
      <c r="Z92" s="36"/>
      <c r="AA92" s="40"/>
      <c r="AB92" s="35"/>
      <c r="AC92" s="36"/>
      <c r="AD92" s="40"/>
      <c r="AE92" s="35"/>
      <c r="AF92" s="36"/>
      <c r="AG92" s="40"/>
      <c r="AH92" s="35"/>
      <c r="AI92" s="36"/>
      <c r="AJ92" s="40"/>
      <c r="AK92" s="35"/>
      <c r="AL92" s="36"/>
      <c r="AM92" s="40"/>
      <c r="AN92" s="35"/>
      <c r="AO92" s="36"/>
      <c r="AP92" s="36"/>
      <c r="AQ92" s="72"/>
    </row>
    <row r="93" spans="1:43" x14ac:dyDescent="0.25">
      <c r="A93" s="5"/>
      <c r="B93" s="206" t="s">
        <v>47</v>
      </c>
      <c r="C93" s="207"/>
      <c r="D93" s="208"/>
      <c r="E93" s="209"/>
      <c r="F93" s="210"/>
      <c r="G93" s="195"/>
      <c r="H93" s="212"/>
      <c r="I93" s="223"/>
      <c r="J93" s="195"/>
      <c r="K93" s="212"/>
      <c r="L93" s="223"/>
      <c r="M93" s="195"/>
      <c r="N93" s="212"/>
      <c r="O93" s="223"/>
      <c r="P93" s="195"/>
      <c r="Q93" s="212"/>
      <c r="R93" s="223"/>
      <c r="S93" s="195"/>
      <c r="T93" s="212"/>
      <c r="U93" s="223"/>
      <c r="V93" s="195"/>
      <c r="W93" s="212"/>
      <c r="X93" s="223"/>
      <c r="Y93" s="195"/>
      <c r="Z93" s="212"/>
      <c r="AA93" s="223"/>
      <c r="AB93" s="195"/>
      <c r="AC93" s="212"/>
      <c r="AD93" s="223"/>
      <c r="AE93" s="195"/>
      <c r="AF93" s="212"/>
      <c r="AG93" s="223"/>
      <c r="AH93" s="195"/>
      <c r="AI93" s="212"/>
      <c r="AJ93" s="223"/>
      <c r="AK93" s="195"/>
      <c r="AL93" s="212"/>
      <c r="AM93" s="223"/>
      <c r="AN93" s="195"/>
      <c r="AO93" s="212"/>
      <c r="AP93" s="212"/>
      <c r="AQ93" s="72"/>
    </row>
    <row r="94" spans="1:43" ht="17.25" x14ac:dyDescent="0.25">
      <c r="A94" s="5">
        <v>14.5</v>
      </c>
      <c r="B94" s="27" t="str">
        <f>'Itemised Rates - June 2021'!B32</f>
        <v>Rip and shape remaining disturbed surfaces</v>
      </c>
      <c r="C94" s="24" t="s">
        <v>14</v>
      </c>
      <c r="D94" s="52">
        <v>392696.88</v>
      </c>
      <c r="E94" s="10">
        <f>'Itemised Rates - June 2021'!D32</f>
        <v>4.03</v>
      </c>
      <c r="F94" s="15">
        <f>D94*E94</f>
        <v>1582568.4264000002</v>
      </c>
      <c r="G94" s="34">
        <f>D94</f>
        <v>392696.88</v>
      </c>
      <c r="H94" s="4" t="e">
        <f>#REF!</f>
        <v>#REF!</v>
      </c>
      <c r="I94" s="15" t="e">
        <f>G94*H94</f>
        <v>#REF!</v>
      </c>
      <c r="J94" s="34">
        <f>G94</f>
        <v>392696.88</v>
      </c>
      <c r="K94" s="4" t="e">
        <f>#REF!</f>
        <v>#REF!</v>
      </c>
      <c r="L94" s="15" t="e">
        <f>J94*K94</f>
        <v>#REF!</v>
      </c>
      <c r="M94" s="34">
        <f>J94</f>
        <v>392696.88</v>
      </c>
      <c r="N94" s="4" t="e">
        <f>#REF!</f>
        <v>#REF!</v>
      </c>
      <c r="O94" s="15" t="e">
        <f>M94*N94</f>
        <v>#REF!</v>
      </c>
      <c r="P94" s="34">
        <f>M94</f>
        <v>392696.88</v>
      </c>
      <c r="Q94" s="4" t="e">
        <f>#REF!</f>
        <v>#REF!</v>
      </c>
      <c r="R94" s="15" t="e">
        <f>P94*Q94</f>
        <v>#REF!</v>
      </c>
      <c r="S94" s="34">
        <f>P94</f>
        <v>392696.88</v>
      </c>
      <c r="T94" s="4" t="e">
        <f>#REF!</f>
        <v>#REF!</v>
      </c>
      <c r="U94" s="15" t="e">
        <f>S94*T94</f>
        <v>#REF!</v>
      </c>
      <c r="V94" s="34">
        <f>S94</f>
        <v>392696.88</v>
      </c>
      <c r="W94" s="4" t="e">
        <f>#REF!</f>
        <v>#REF!</v>
      </c>
      <c r="X94" s="15" t="e">
        <f>V94*W94</f>
        <v>#REF!</v>
      </c>
      <c r="Y94" s="34">
        <f>V94</f>
        <v>392696.88</v>
      </c>
      <c r="Z94" s="4" t="e">
        <f>#REF!</f>
        <v>#REF!</v>
      </c>
      <c r="AA94" s="15" t="e">
        <f>Y94*Z94</f>
        <v>#REF!</v>
      </c>
      <c r="AB94" s="34">
        <f>Y94</f>
        <v>392696.88</v>
      </c>
      <c r="AC94" s="4" t="e">
        <f>#REF!</f>
        <v>#REF!</v>
      </c>
      <c r="AD94" s="15" t="e">
        <f>AB94*AC94</f>
        <v>#REF!</v>
      </c>
      <c r="AE94" s="34">
        <f>AB94</f>
        <v>392696.88</v>
      </c>
      <c r="AF94" s="4" t="e">
        <f>#REF!</f>
        <v>#REF!</v>
      </c>
      <c r="AG94" s="15" t="e">
        <f>AE94*AF94</f>
        <v>#REF!</v>
      </c>
      <c r="AH94" s="34">
        <f>AE94</f>
        <v>392696.88</v>
      </c>
      <c r="AI94" s="4">
        <f>E94</f>
        <v>4.03</v>
      </c>
      <c r="AJ94" s="15">
        <f>AH94*AI94</f>
        <v>1582568.4264000002</v>
      </c>
      <c r="AK94" s="34">
        <f>AH94</f>
        <v>392696.88</v>
      </c>
      <c r="AL94" s="4" t="e">
        <f>#REF!</f>
        <v>#REF!</v>
      </c>
      <c r="AM94" s="15" t="e">
        <f>AK94*AL94</f>
        <v>#REF!</v>
      </c>
      <c r="AN94" s="34">
        <f>AK94</f>
        <v>392696.88</v>
      </c>
      <c r="AO94" s="4" t="e">
        <f>#REF!</f>
        <v>#REF!</v>
      </c>
      <c r="AP94" s="31" t="e">
        <f>AN94*AO94</f>
        <v>#REF!</v>
      </c>
      <c r="AQ94" s="72" t="s">
        <v>113</v>
      </c>
    </row>
    <row r="95" spans="1:43" x14ac:dyDescent="0.25">
      <c r="A95" s="5">
        <v>14.6</v>
      </c>
      <c r="B95" s="27" t="s">
        <v>285</v>
      </c>
      <c r="C95" s="75" t="s">
        <v>16</v>
      </c>
      <c r="D95" s="52">
        <v>1075</v>
      </c>
      <c r="E95" s="10">
        <f>'Itemised Rates - June 2021'!D33</f>
        <v>29.59</v>
      </c>
      <c r="F95" s="15">
        <f>D95*E95</f>
        <v>31809.25</v>
      </c>
      <c r="G95" s="45"/>
      <c r="H95" s="46"/>
      <c r="I95" s="51"/>
      <c r="J95" s="45"/>
      <c r="K95" s="46"/>
      <c r="L95" s="51"/>
      <c r="M95" s="45"/>
      <c r="N95" s="46"/>
      <c r="O95" s="51"/>
      <c r="P95" s="45"/>
      <c r="Q95" s="46"/>
      <c r="R95" s="51"/>
      <c r="S95" s="45"/>
      <c r="T95" s="46"/>
      <c r="U95" s="51"/>
      <c r="V95" s="45"/>
      <c r="W95" s="46"/>
      <c r="X95" s="51"/>
      <c r="Y95" s="45"/>
      <c r="Z95" s="46"/>
      <c r="AA95" s="51"/>
      <c r="AB95" s="45"/>
      <c r="AC95" s="46"/>
      <c r="AD95" s="51"/>
      <c r="AE95" s="45"/>
      <c r="AF95" s="46"/>
      <c r="AG95" s="51"/>
      <c r="AH95" s="45"/>
      <c r="AI95" s="46"/>
      <c r="AJ95" s="51"/>
      <c r="AK95" s="45"/>
      <c r="AL95" s="46"/>
      <c r="AM95" s="51"/>
      <c r="AN95" s="45"/>
      <c r="AO95" s="46"/>
      <c r="AP95" s="46"/>
      <c r="AQ95" s="72"/>
    </row>
    <row r="96" spans="1:43" x14ac:dyDescent="0.25">
      <c r="A96" s="5"/>
      <c r="B96" s="206" t="s">
        <v>48</v>
      </c>
      <c r="C96" s="207"/>
      <c r="D96" s="208"/>
      <c r="E96" s="209"/>
      <c r="F96" s="210"/>
      <c r="G96" s="195"/>
      <c r="H96" s="212"/>
      <c r="I96" s="223"/>
      <c r="J96" s="195"/>
      <c r="K96" s="212"/>
      <c r="L96" s="223"/>
      <c r="M96" s="195"/>
      <c r="N96" s="212"/>
      <c r="O96" s="223"/>
      <c r="P96" s="195"/>
      <c r="Q96" s="212"/>
      <c r="R96" s="223"/>
      <c r="S96" s="195"/>
      <c r="T96" s="212"/>
      <c r="U96" s="223"/>
      <c r="V96" s="195"/>
      <c r="W96" s="212"/>
      <c r="X96" s="223"/>
      <c r="Y96" s="195"/>
      <c r="Z96" s="212"/>
      <c r="AA96" s="223"/>
      <c r="AB96" s="195"/>
      <c r="AC96" s="212"/>
      <c r="AD96" s="223"/>
      <c r="AE96" s="195"/>
      <c r="AF96" s="212"/>
      <c r="AG96" s="223"/>
      <c r="AH96" s="195"/>
      <c r="AI96" s="212"/>
      <c r="AJ96" s="223"/>
      <c r="AK96" s="195"/>
      <c r="AL96" s="212"/>
      <c r="AM96" s="223"/>
      <c r="AN96" s="195"/>
      <c r="AO96" s="212"/>
      <c r="AP96" s="212"/>
      <c r="AQ96" s="72"/>
    </row>
    <row r="97" spans="1:45" ht="17.25" x14ac:dyDescent="0.25">
      <c r="A97" s="5">
        <v>14.5</v>
      </c>
      <c r="B97" s="28" t="str">
        <f>'Itemised Rates - June 2021'!B32</f>
        <v>Rip and shape remaining disturbed surfaces</v>
      </c>
      <c r="C97" s="24" t="s">
        <v>14</v>
      </c>
      <c r="D97" s="52">
        <f>510919-166000</f>
        <v>344919</v>
      </c>
      <c r="E97" s="10">
        <f>'Itemised Rates - June 2021'!D32</f>
        <v>4.03</v>
      </c>
      <c r="F97" s="15">
        <f>D97*E97</f>
        <v>1390023.57</v>
      </c>
      <c r="G97" s="34">
        <f>D97-10000</f>
        <v>334919</v>
      </c>
      <c r="H97" s="4" t="e">
        <f>#REF!</f>
        <v>#REF!</v>
      </c>
      <c r="I97" s="15" t="e">
        <f>G97*H97</f>
        <v>#REF!</v>
      </c>
      <c r="J97" s="34">
        <f>G97</f>
        <v>334919</v>
      </c>
      <c r="K97" s="4" t="e">
        <f>K94</f>
        <v>#REF!</v>
      </c>
      <c r="L97" s="15" t="e">
        <f>J97*K97</f>
        <v>#REF!</v>
      </c>
      <c r="M97" s="34">
        <f>J97</f>
        <v>334919</v>
      </c>
      <c r="N97" s="4" t="e">
        <f>N94</f>
        <v>#REF!</v>
      </c>
      <c r="O97" s="15" t="e">
        <f>M97*N97</f>
        <v>#REF!</v>
      </c>
      <c r="P97" s="34">
        <f>M97</f>
        <v>334919</v>
      </c>
      <c r="Q97" s="4" t="e">
        <f>Q94</f>
        <v>#REF!</v>
      </c>
      <c r="R97" s="15" t="e">
        <f>P97*Q97</f>
        <v>#REF!</v>
      </c>
      <c r="S97" s="34">
        <f>P97</f>
        <v>334919</v>
      </c>
      <c r="T97" s="4" t="e">
        <f>T94</f>
        <v>#REF!</v>
      </c>
      <c r="U97" s="15" t="e">
        <f>S97*T97</f>
        <v>#REF!</v>
      </c>
      <c r="V97" s="34">
        <f>S97</f>
        <v>334919</v>
      </c>
      <c r="W97" s="4" t="e">
        <f>W94</f>
        <v>#REF!</v>
      </c>
      <c r="X97" s="15" t="e">
        <f>V97*W97</f>
        <v>#REF!</v>
      </c>
      <c r="Y97" s="34">
        <f>V97</f>
        <v>334919</v>
      </c>
      <c r="Z97" s="4" t="e">
        <f>Z94</f>
        <v>#REF!</v>
      </c>
      <c r="AA97" s="15" t="e">
        <f>Y97*Z97</f>
        <v>#REF!</v>
      </c>
      <c r="AB97" s="34">
        <f>Y97</f>
        <v>334919</v>
      </c>
      <c r="AC97" s="4" t="e">
        <f>AC94</f>
        <v>#REF!</v>
      </c>
      <c r="AD97" s="15" t="e">
        <f>AB97*AC97</f>
        <v>#REF!</v>
      </c>
      <c r="AE97" s="34">
        <f>AB97</f>
        <v>334919</v>
      </c>
      <c r="AF97" s="4" t="e">
        <f>AF94</f>
        <v>#REF!</v>
      </c>
      <c r="AG97" s="15" t="e">
        <f>AE97*AF97</f>
        <v>#REF!</v>
      </c>
      <c r="AH97" s="34">
        <f>AE97</f>
        <v>334919</v>
      </c>
      <c r="AI97" s="4">
        <f>AI94</f>
        <v>4.03</v>
      </c>
      <c r="AJ97" s="15">
        <f>AH97*AI97</f>
        <v>1349723.57</v>
      </c>
      <c r="AK97" s="34">
        <f>AH97</f>
        <v>334919</v>
      </c>
      <c r="AL97" s="4" t="e">
        <f>AL94</f>
        <v>#REF!</v>
      </c>
      <c r="AM97" s="15" t="e">
        <f>AK97*AL97</f>
        <v>#REF!</v>
      </c>
      <c r="AN97" s="34">
        <f>AK97</f>
        <v>334919</v>
      </c>
      <c r="AO97" s="4" t="e">
        <f>AO94</f>
        <v>#REF!</v>
      </c>
      <c r="AP97" s="31" t="e">
        <f>AN97*AO97</f>
        <v>#REF!</v>
      </c>
      <c r="AQ97" s="72" t="s">
        <v>113</v>
      </c>
    </row>
    <row r="98" spans="1:45" x14ac:dyDescent="0.25">
      <c r="A98" s="5"/>
      <c r="B98" s="213" t="s">
        <v>75</v>
      </c>
      <c r="C98" s="214"/>
      <c r="D98" s="215"/>
      <c r="E98" s="217"/>
      <c r="F98" s="218"/>
      <c r="G98" s="228"/>
      <c r="H98" s="229"/>
      <c r="I98" s="230"/>
      <c r="J98" s="37"/>
      <c r="K98" s="38"/>
      <c r="L98" s="41"/>
      <c r="M98" s="37"/>
      <c r="N98" s="38"/>
      <c r="O98" s="41"/>
      <c r="P98" s="37"/>
      <c r="Q98" s="38"/>
      <c r="R98" s="41"/>
      <c r="S98" s="37"/>
      <c r="T98" s="38"/>
      <c r="U98" s="41"/>
      <c r="V98" s="37"/>
      <c r="W98" s="38"/>
      <c r="X98" s="41"/>
      <c r="Y98" s="37"/>
      <c r="Z98" s="38"/>
      <c r="AA98" s="41"/>
      <c r="AB98" s="37"/>
      <c r="AC98" s="38"/>
      <c r="AD98" s="41"/>
      <c r="AE98" s="37"/>
      <c r="AF98" s="38"/>
      <c r="AG98" s="41"/>
      <c r="AH98" s="37"/>
      <c r="AI98" s="38"/>
      <c r="AJ98" s="41"/>
      <c r="AK98" s="37"/>
      <c r="AL98" s="38"/>
      <c r="AM98" s="41"/>
      <c r="AN98" s="37"/>
      <c r="AO98" s="38"/>
      <c r="AP98" s="38"/>
      <c r="AQ98" s="72"/>
    </row>
    <row r="99" spans="1:45" x14ac:dyDescent="0.25">
      <c r="A99" s="5">
        <v>19.899999999999999</v>
      </c>
      <c r="B99" s="28" t="str">
        <f>'Itemised Rates - June 2021'!B43</f>
        <v>Social &amp; Labour Plan 2021/22 Commitments</v>
      </c>
      <c r="C99" s="111" t="s">
        <v>26</v>
      </c>
      <c r="D99" s="52">
        <v>3</v>
      </c>
      <c r="E99" s="10">
        <f>'Itemised Rates - June 2021'!D42</f>
        <v>610528.01</v>
      </c>
      <c r="F99" s="15">
        <f>D99*E99</f>
        <v>1831584.03</v>
      </c>
      <c r="G99" s="34">
        <f>D99</f>
        <v>3</v>
      </c>
      <c r="H99" s="4" t="e">
        <f>#REF!</f>
        <v>#REF!</v>
      </c>
      <c r="I99" s="15" t="e">
        <f>G99*H99</f>
        <v>#REF!</v>
      </c>
      <c r="J99" s="34">
        <f>G99</f>
        <v>3</v>
      </c>
      <c r="K99" s="4" t="e">
        <f>#REF!</f>
        <v>#REF!</v>
      </c>
      <c r="L99" s="15" t="e">
        <f>J99*K99</f>
        <v>#REF!</v>
      </c>
      <c r="M99" s="34">
        <f>J99</f>
        <v>3</v>
      </c>
      <c r="N99" s="4" t="e">
        <f>#REF!</f>
        <v>#REF!</v>
      </c>
      <c r="O99" s="15" t="e">
        <f>M99*N99</f>
        <v>#REF!</v>
      </c>
      <c r="P99" s="34">
        <f>M99</f>
        <v>3</v>
      </c>
      <c r="Q99" s="4" t="e">
        <f>#REF!</f>
        <v>#REF!</v>
      </c>
      <c r="R99" s="15" t="e">
        <f>P99*Q99</f>
        <v>#REF!</v>
      </c>
      <c r="S99" s="34">
        <f>P99</f>
        <v>3</v>
      </c>
      <c r="T99" s="4" t="e">
        <f>#REF!</f>
        <v>#REF!</v>
      </c>
      <c r="U99" s="15" t="e">
        <f>S99*T99</f>
        <v>#REF!</v>
      </c>
      <c r="V99" s="34">
        <f>S99</f>
        <v>3</v>
      </c>
      <c r="W99" s="4" t="e">
        <f>#REF!</f>
        <v>#REF!</v>
      </c>
      <c r="X99" s="15" t="e">
        <f>V99*W99</f>
        <v>#REF!</v>
      </c>
      <c r="Y99" s="34">
        <f>V99</f>
        <v>3</v>
      </c>
      <c r="Z99" s="4" t="e">
        <f>#REF!</f>
        <v>#REF!</v>
      </c>
      <c r="AA99" s="15" t="e">
        <f>Y99*Z99</f>
        <v>#REF!</v>
      </c>
      <c r="AB99" s="34">
        <f>Y99</f>
        <v>3</v>
      </c>
      <c r="AC99" s="4" t="e">
        <f>#REF!</f>
        <v>#REF!</v>
      </c>
      <c r="AD99" s="15" t="e">
        <f>AB99*AC99</f>
        <v>#REF!</v>
      </c>
      <c r="AE99" s="34">
        <f>AB99</f>
        <v>3</v>
      </c>
      <c r="AF99" s="4" t="e">
        <f>#REF!</f>
        <v>#REF!</v>
      </c>
      <c r="AG99" s="15" t="e">
        <f>AE99*AF99</f>
        <v>#REF!</v>
      </c>
      <c r="AH99" s="34">
        <f>AE99</f>
        <v>3</v>
      </c>
      <c r="AI99" s="4">
        <f>E99</f>
        <v>610528.01</v>
      </c>
      <c r="AJ99" s="15">
        <f>AH99*AI99</f>
        <v>1831584.03</v>
      </c>
      <c r="AK99" s="34">
        <f>AH99</f>
        <v>3</v>
      </c>
      <c r="AL99" s="4" t="e">
        <f>#REF!</f>
        <v>#REF!</v>
      </c>
      <c r="AM99" s="15" t="e">
        <f>AK99*AL99</f>
        <v>#REF!</v>
      </c>
      <c r="AN99" s="34">
        <f>AK99</f>
        <v>3</v>
      </c>
      <c r="AO99" s="4" t="e">
        <f>#REF!</f>
        <v>#REF!</v>
      </c>
      <c r="AP99" s="31" t="e">
        <f>AN99*AO99</f>
        <v>#REF!</v>
      </c>
      <c r="AQ99" s="72"/>
    </row>
    <row r="100" spans="1:45" x14ac:dyDescent="0.25">
      <c r="A100" s="5"/>
      <c r="B100" s="213" t="s">
        <v>69</v>
      </c>
      <c r="C100" s="214"/>
      <c r="D100" s="215"/>
      <c r="E100" s="217"/>
      <c r="F100" s="218"/>
      <c r="G100" s="228"/>
      <c r="H100" s="229"/>
      <c r="I100" s="230"/>
      <c r="J100" s="37"/>
      <c r="K100" s="38"/>
      <c r="L100" s="41"/>
      <c r="M100" s="37"/>
      <c r="N100" s="38"/>
      <c r="O100" s="41"/>
      <c r="P100" s="37"/>
      <c r="Q100" s="38"/>
      <c r="R100" s="41"/>
      <c r="S100" s="37"/>
      <c r="T100" s="38"/>
      <c r="U100" s="41"/>
      <c r="V100" s="37"/>
      <c r="W100" s="38"/>
      <c r="X100" s="41"/>
      <c r="Y100" s="37"/>
      <c r="Z100" s="38"/>
      <c r="AA100" s="41"/>
      <c r="AB100" s="37"/>
      <c r="AC100" s="38"/>
      <c r="AD100" s="41"/>
      <c r="AE100" s="37"/>
      <c r="AF100" s="38"/>
      <c r="AG100" s="41"/>
      <c r="AH100" s="37"/>
      <c r="AI100" s="38"/>
      <c r="AJ100" s="41"/>
      <c r="AK100" s="37"/>
      <c r="AL100" s="38"/>
      <c r="AM100" s="41"/>
      <c r="AN100" s="37"/>
      <c r="AO100" s="38"/>
      <c r="AP100" s="38"/>
      <c r="AQ100" s="72"/>
    </row>
    <row r="101" spans="1:45" x14ac:dyDescent="0.25">
      <c r="A101" s="5">
        <v>19.100000000000001</v>
      </c>
      <c r="B101" s="28" t="str">
        <f>'Itemised Rates - June 2021'!B35</f>
        <v>Surface Water Quality Monitoring</v>
      </c>
      <c r="C101" s="24" t="s">
        <v>26</v>
      </c>
      <c r="D101" s="42">
        <v>3</v>
      </c>
      <c r="E101" s="219">
        <f>'Itemised Rates - June 2021'!D35</f>
        <v>750000</v>
      </c>
      <c r="F101" s="221">
        <f>D101*E101</f>
        <v>2250000</v>
      </c>
      <c r="G101" s="34">
        <f>D101</f>
        <v>3</v>
      </c>
      <c r="H101" s="4" t="e">
        <f>#REF!</f>
        <v>#REF!</v>
      </c>
      <c r="I101" s="15" t="e">
        <f>G101*H101</f>
        <v>#REF!</v>
      </c>
      <c r="J101" s="34">
        <f>G101</f>
        <v>3</v>
      </c>
      <c r="K101" s="4" t="e">
        <f>#REF!</f>
        <v>#REF!</v>
      </c>
      <c r="L101" s="15" t="e">
        <f>J101*K101</f>
        <v>#REF!</v>
      </c>
      <c r="M101" s="34">
        <f>J101</f>
        <v>3</v>
      </c>
      <c r="N101" s="4" t="e">
        <f>#REF!</f>
        <v>#REF!</v>
      </c>
      <c r="O101" s="15" t="e">
        <f>M101*N101</f>
        <v>#REF!</v>
      </c>
      <c r="P101" s="34">
        <f>M101</f>
        <v>3</v>
      </c>
      <c r="Q101" s="4" t="e">
        <f>#REF!</f>
        <v>#REF!</v>
      </c>
      <c r="R101" s="15" t="e">
        <f>P101*Q101</f>
        <v>#REF!</v>
      </c>
      <c r="S101" s="34">
        <f>P101</f>
        <v>3</v>
      </c>
      <c r="T101" s="4" t="e">
        <f>#REF!</f>
        <v>#REF!</v>
      </c>
      <c r="U101" s="15" t="e">
        <f>S101*T101</f>
        <v>#REF!</v>
      </c>
      <c r="V101" s="34">
        <f>S101</f>
        <v>3</v>
      </c>
      <c r="W101" s="4" t="e">
        <f>#REF!</f>
        <v>#REF!</v>
      </c>
      <c r="X101" s="15" t="e">
        <f>V101*W101</f>
        <v>#REF!</v>
      </c>
      <c r="Y101" s="34">
        <f>V101</f>
        <v>3</v>
      </c>
      <c r="Z101" s="4" t="e">
        <f>#REF!</f>
        <v>#REF!</v>
      </c>
      <c r="AA101" s="15" t="e">
        <f>Y101*Z101</f>
        <v>#REF!</v>
      </c>
      <c r="AB101" s="34">
        <f>Y101</f>
        <v>3</v>
      </c>
      <c r="AC101" s="4" t="e">
        <f>#REF!</f>
        <v>#REF!</v>
      </c>
      <c r="AD101" s="15" t="e">
        <f>AB101*AC101</f>
        <v>#REF!</v>
      </c>
      <c r="AE101" s="34">
        <f>AB101</f>
        <v>3</v>
      </c>
      <c r="AF101" s="4" t="e">
        <f>#REF!</f>
        <v>#REF!</v>
      </c>
      <c r="AG101" s="15" t="e">
        <f>AE101*AF101</f>
        <v>#REF!</v>
      </c>
      <c r="AH101" s="34">
        <f>AE101</f>
        <v>3</v>
      </c>
      <c r="AI101" s="4">
        <f>E101</f>
        <v>750000</v>
      </c>
      <c r="AJ101" s="15">
        <f>AH101*AI101</f>
        <v>2250000</v>
      </c>
      <c r="AK101" s="34">
        <f>AH101</f>
        <v>3</v>
      </c>
      <c r="AL101" s="4" t="e">
        <f>#REF!</f>
        <v>#REF!</v>
      </c>
      <c r="AM101" s="15" t="e">
        <f>AK101*AL101</f>
        <v>#REF!</v>
      </c>
      <c r="AN101" s="34">
        <f>AK101</f>
        <v>3</v>
      </c>
      <c r="AO101" s="4" t="e">
        <f>#REF!</f>
        <v>#REF!</v>
      </c>
      <c r="AP101" s="31" t="e">
        <f>AN101*AO101</f>
        <v>#REF!</v>
      </c>
      <c r="AQ101" s="72" t="s">
        <v>113</v>
      </c>
    </row>
    <row r="102" spans="1:45" x14ac:dyDescent="0.25">
      <c r="A102" s="5">
        <v>19.2</v>
      </c>
      <c r="B102" s="28" t="str">
        <f>'Itemised Rates - June 2021'!B36</f>
        <v>Groundwater Quality Monitoring</v>
      </c>
      <c r="C102" s="24" t="s">
        <v>26</v>
      </c>
      <c r="D102" s="42">
        <v>3</v>
      </c>
      <c r="E102" s="220"/>
      <c r="F102" s="222"/>
      <c r="G102" s="34">
        <f>D102</f>
        <v>3</v>
      </c>
      <c r="H102" s="4" t="e">
        <f>#REF!</f>
        <v>#REF!</v>
      </c>
      <c r="I102" s="15" t="e">
        <f t="shared" ref="I102:I104" si="77">G102*H102</f>
        <v>#REF!</v>
      </c>
      <c r="J102" s="34">
        <f>G102</f>
        <v>3</v>
      </c>
      <c r="K102" s="4" t="e">
        <f>#REF!</f>
        <v>#REF!</v>
      </c>
      <c r="L102" s="15" t="e">
        <f t="shared" ref="L102:L104" si="78">J102*K102</f>
        <v>#REF!</v>
      </c>
      <c r="M102" s="34">
        <f>J102</f>
        <v>3</v>
      </c>
      <c r="N102" s="4" t="e">
        <f>#REF!</f>
        <v>#REF!</v>
      </c>
      <c r="O102" s="15" t="e">
        <f t="shared" ref="O102:O104" si="79">M102*N102</f>
        <v>#REF!</v>
      </c>
      <c r="P102" s="34">
        <f>M102</f>
        <v>3</v>
      </c>
      <c r="Q102" s="4" t="e">
        <f>#REF!</f>
        <v>#REF!</v>
      </c>
      <c r="R102" s="15" t="e">
        <f t="shared" ref="R102:R104" si="80">P102*Q102</f>
        <v>#REF!</v>
      </c>
      <c r="S102" s="34">
        <f>P102</f>
        <v>3</v>
      </c>
      <c r="T102" s="4" t="e">
        <f>#REF!</f>
        <v>#REF!</v>
      </c>
      <c r="U102" s="15" t="e">
        <f t="shared" ref="U102:U104" si="81">S102*T102</f>
        <v>#REF!</v>
      </c>
      <c r="V102" s="34">
        <f>S102</f>
        <v>3</v>
      </c>
      <c r="W102" s="4" t="e">
        <f>#REF!</f>
        <v>#REF!</v>
      </c>
      <c r="X102" s="15" t="e">
        <f t="shared" ref="X102:X104" si="82">V102*W102</f>
        <v>#REF!</v>
      </c>
      <c r="Y102" s="34">
        <f>V102</f>
        <v>3</v>
      </c>
      <c r="Z102" s="4" t="e">
        <f>#REF!</f>
        <v>#REF!</v>
      </c>
      <c r="AA102" s="15" t="e">
        <f t="shared" ref="AA102:AA104" si="83">Y102*Z102</f>
        <v>#REF!</v>
      </c>
      <c r="AB102" s="34">
        <f>Y102</f>
        <v>3</v>
      </c>
      <c r="AC102" s="4" t="e">
        <f>#REF!</f>
        <v>#REF!</v>
      </c>
      <c r="AD102" s="15" t="e">
        <f t="shared" ref="AD102:AD104" si="84">AB102*AC102</f>
        <v>#REF!</v>
      </c>
      <c r="AE102" s="34">
        <f>AB102</f>
        <v>3</v>
      </c>
      <c r="AF102" s="4" t="e">
        <f>#REF!</f>
        <v>#REF!</v>
      </c>
      <c r="AG102" s="15" t="e">
        <f t="shared" ref="AG102:AG104" si="85">AE102*AF102</f>
        <v>#REF!</v>
      </c>
      <c r="AH102" s="34">
        <f>AE102</f>
        <v>3</v>
      </c>
      <c r="AI102" s="4">
        <f>E102</f>
        <v>0</v>
      </c>
      <c r="AJ102" s="15">
        <f t="shared" ref="AJ102:AJ104" si="86">AH102*AI102</f>
        <v>0</v>
      </c>
      <c r="AK102" s="34">
        <f>AH102</f>
        <v>3</v>
      </c>
      <c r="AL102" s="4" t="e">
        <f>#REF!</f>
        <v>#REF!</v>
      </c>
      <c r="AM102" s="15" t="e">
        <f t="shared" ref="AM102:AM104" si="87">AK102*AL102</f>
        <v>#REF!</v>
      </c>
      <c r="AN102" s="34">
        <f>AK102</f>
        <v>3</v>
      </c>
      <c r="AO102" s="4" t="e">
        <f>#REF!</f>
        <v>#REF!</v>
      </c>
      <c r="AP102" s="31" t="e">
        <f t="shared" ref="AP102:AP104" si="88">AN102*AO102</f>
        <v>#REF!</v>
      </c>
      <c r="AQ102" s="72" t="s">
        <v>113</v>
      </c>
    </row>
    <row r="103" spans="1:45" x14ac:dyDescent="0.25">
      <c r="A103" s="5">
        <v>19.3</v>
      </c>
      <c r="B103" s="28" t="str">
        <f>'Itemised Rates - June 2021'!B37</f>
        <v>Air Quality Monitoring (PM2.5 &amp; PM10)</v>
      </c>
      <c r="C103" s="24" t="s">
        <v>26</v>
      </c>
      <c r="D103" s="42">
        <v>3</v>
      </c>
      <c r="E103" s="10">
        <f>'Itemised Rates - June 2021'!D37</f>
        <v>240000</v>
      </c>
      <c r="F103" s="15">
        <f t="shared" ref="F103:F104" si="89">D103*E103</f>
        <v>720000</v>
      </c>
      <c r="G103" s="34">
        <f>D103</f>
        <v>3</v>
      </c>
      <c r="H103" s="4" t="e">
        <f>#REF!</f>
        <v>#REF!</v>
      </c>
      <c r="I103" s="15" t="e">
        <f t="shared" si="77"/>
        <v>#REF!</v>
      </c>
      <c r="J103" s="34">
        <f>G103</f>
        <v>3</v>
      </c>
      <c r="K103" s="4" t="e">
        <f>#REF!</f>
        <v>#REF!</v>
      </c>
      <c r="L103" s="15" t="e">
        <f t="shared" si="78"/>
        <v>#REF!</v>
      </c>
      <c r="M103" s="34">
        <f>J103</f>
        <v>3</v>
      </c>
      <c r="N103" s="4" t="e">
        <f>#REF!</f>
        <v>#REF!</v>
      </c>
      <c r="O103" s="15" t="e">
        <f t="shared" si="79"/>
        <v>#REF!</v>
      </c>
      <c r="P103" s="34">
        <f>M103</f>
        <v>3</v>
      </c>
      <c r="Q103" s="4" t="e">
        <f>#REF!</f>
        <v>#REF!</v>
      </c>
      <c r="R103" s="15" t="e">
        <f t="shared" si="80"/>
        <v>#REF!</v>
      </c>
      <c r="S103" s="34">
        <f>P103</f>
        <v>3</v>
      </c>
      <c r="T103" s="4" t="e">
        <f>#REF!</f>
        <v>#REF!</v>
      </c>
      <c r="U103" s="15" t="e">
        <f t="shared" si="81"/>
        <v>#REF!</v>
      </c>
      <c r="V103" s="34">
        <f>S103</f>
        <v>3</v>
      </c>
      <c r="W103" s="4" t="e">
        <f>#REF!</f>
        <v>#REF!</v>
      </c>
      <c r="X103" s="15" t="e">
        <f t="shared" si="82"/>
        <v>#REF!</v>
      </c>
      <c r="Y103" s="34">
        <f>V103</f>
        <v>3</v>
      </c>
      <c r="Z103" s="4" t="e">
        <f>#REF!</f>
        <v>#REF!</v>
      </c>
      <c r="AA103" s="15" t="e">
        <f t="shared" si="83"/>
        <v>#REF!</v>
      </c>
      <c r="AB103" s="34">
        <f>Y103</f>
        <v>3</v>
      </c>
      <c r="AC103" s="4" t="e">
        <f>#REF!</f>
        <v>#REF!</v>
      </c>
      <c r="AD103" s="15" t="e">
        <f t="shared" si="84"/>
        <v>#REF!</v>
      </c>
      <c r="AE103" s="34">
        <f>AB103</f>
        <v>3</v>
      </c>
      <c r="AF103" s="4" t="e">
        <f>#REF!</f>
        <v>#REF!</v>
      </c>
      <c r="AG103" s="15" t="e">
        <f t="shared" si="85"/>
        <v>#REF!</v>
      </c>
      <c r="AH103" s="34">
        <f>AE103</f>
        <v>3</v>
      </c>
      <c r="AI103" s="4">
        <f>E103</f>
        <v>240000</v>
      </c>
      <c r="AJ103" s="15">
        <f t="shared" si="86"/>
        <v>720000</v>
      </c>
      <c r="AK103" s="34">
        <f>AH103</f>
        <v>3</v>
      </c>
      <c r="AL103" s="4" t="e">
        <f>#REF!</f>
        <v>#REF!</v>
      </c>
      <c r="AM103" s="15" t="e">
        <f t="shared" si="87"/>
        <v>#REF!</v>
      </c>
      <c r="AN103" s="34">
        <f>AK103</f>
        <v>3</v>
      </c>
      <c r="AO103" s="4" t="e">
        <f>#REF!</f>
        <v>#REF!</v>
      </c>
      <c r="AP103" s="31" t="e">
        <f t="shared" si="88"/>
        <v>#REF!</v>
      </c>
      <c r="AQ103" s="72" t="s">
        <v>113</v>
      </c>
    </row>
    <row r="104" spans="1:45" x14ac:dyDescent="0.25">
      <c r="A104" s="5">
        <v>19.399999999999999</v>
      </c>
      <c r="B104" s="28" t="str">
        <f>'Itemised Rates - June 2021'!B38</f>
        <v>Vegetation establishment &amp; Distribution Monitoring</v>
      </c>
      <c r="C104" s="24" t="s">
        <v>26</v>
      </c>
      <c r="D104" s="42">
        <v>3</v>
      </c>
      <c r="E104" s="9">
        <f>'Itemised Rates - June 2021'!D38</f>
        <v>120000</v>
      </c>
      <c r="F104" s="15">
        <f t="shared" si="89"/>
        <v>360000</v>
      </c>
      <c r="G104" s="34">
        <f>D104</f>
        <v>3</v>
      </c>
      <c r="H104" s="4" t="e">
        <f>#REF!</f>
        <v>#REF!</v>
      </c>
      <c r="I104" s="15" t="e">
        <f t="shared" si="77"/>
        <v>#REF!</v>
      </c>
      <c r="J104" s="34">
        <f>G104</f>
        <v>3</v>
      </c>
      <c r="K104" s="4" t="e">
        <f>#REF!</f>
        <v>#REF!</v>
      </c>
      <c r="L104" s="15" t="e">
        <f t="shared" si="78"/>
        <v>#REF!</v>
      </c>
      <c r="M104" s="34">
        <f>J104</f>
        <v>3</v>
      </c>
      <c r="N104" s="4" t="e">
        <f>#REF!</f>
        <v>#REF!</v>
      </c>
      <c r="O104" s="15" t="e">
        <f t="shared" si="79"/>
        <v>#REF!</v>
      </c>
      <c r="P104" s="34">
        <f>M104</f>
        <v>3</v>
      </c>
      <c r="Q104" s="4" t="e">
        <f>#REF!</f>
        <v>#REF!</v>
      </c>
      <c r="R104" s="15" t="e">
        <f t="shared" si="80"/>
        <v>#REF!</v>
      </c>
      <c r="S104" s="34">
        <f>P104</f>
        <v>3</v>
      </c>
      <c r="T104" s="4" t="e">
        <f>#REF!</f>
        <v>#REF!</v>
      </c>
      <c r="U104" s="15" t="e">
        <f t="shared" si="81"/>
        <v>#REF!</v>
      </c>
      <c r="V104" s="34">
        <f>S104</f>
        <v>3</v>
      </c>
      <c r="W104" s="4" t="e">
        <f>#REF!</f>
        <v>#REF!</v>
      </c>
      <c r="X104" s="15" t="e">
        <f t="shared" si="82"/>
        <v>#REF!</v>
      </c>
      <c r="Y104" s="34">
        <f>V104</f>
        <v>3</v>
      </c>
      <c r="Z104" s="4" t="e">
        <f>#REF!</f>
        <v>#REF!</v>
      </c>
      <c r="AA104" s="15" t="e">
        <f t="shared" si="83"/>
        <v>#REF!</v>
      </c>
      <c r="AB104" s="34">
        <f>Y104</f>
        <v>3</v>
      </c>
      <c r="AC104" s="4" t="e">
        <f>#REF!</f>
        <v>#REF!</v>
      </c>
      <c r="AD104" s="15" t="e">
        <f t="shared" si="84"/>
        <v>#REF!</v>
      </c>
      <c r="AE104" s="34">
        <f>AB104</f>
        <v>3</v>
      </c>
      <c r="AF104" s="4" t="e">
        <f>#REF!</f>
        <v>#REF!</v>
      </c>
      <c r="AG104" s="15" t="e">
        <f t="shared" si="85"/>
        <v>#REF!</v>
      </c>
      <c r="AH104" s="34">
        <f>AE104</f>
        <v>3</v>
      </c>
      <c r="AI104" s="4">
        <f>E104</f>
        <v>120000</v>
      </c>
      <c r="AJ104" s="15">
        <f t="shared" si="86"/>
        <v>360000</v>
      </c>
      <c r="AK104" s="34">
        <f>AH104</f>
        <v>3</v>
      </c>
      <c r="AL104" s="4" t="e">
        <f>#REF!</f>
        <v>#REF!</v>
      </c>
      <c r="AM104" s="15" t="e">
        <f t="shared" si="87"/>
        <v>#REF!</v>
      </c>
      <c r="AN104" s="34">
        <f>AK104</f>
        <v>3</v>
      </c>
      <c r="AO104" s="4" t="e">
        <f>#REF!</f>
        <v>#REF!</v>
      </c>
      <c r="AP104" s="31" t="e">
        <f t="shared" si="88"/>
        <v>#REF!</v>
      </c>
      <c r="AQ104" s="72" t="s">
        <v>113</v>
      </c>
    </row>
    <row r="105" spans="1:45" ht="15.75" thickBot="1" x14ac:dyDescent="0.3">
      <c r="A105" s="5">
        <v>19.5</v>
      </c>
      <c r="B105" s="28" t="str">
        <f>'Itemised Rates - June 2021'!B39</f>
        <v>Land Stability Monitoring</v>
      </c>
      <c r="C105" s="111" t="s">
        <v>26</v>
      </c>
      <c r="D105" s="112">
        <v>3</v>
      </c>
      <c r="E105" s="114">
        <f>'Itemised Rates - June 2021'!D39</f>
        <v>1400000</v>
      </c>
      <c r="F105" s="113">
        <f t="shared" ref="F105:F106" si="90">D105*E105</f>
        <v>4200000</v>
      </c>
      <c r="G105" s="60">
        <f>D105</f>
        <v>3</v>
      </c>
      <c r="H105" s="61" t="e">
        <f>#REF!</f>
        <v>#REF!</v>
      </c>
      <c r="I105" s="59" t="e">
        <f t="shared" ref="I105" si="91">G105*H105</f>
        <v>#REF!</v>
      </c>
      <c r="J105" s="60">
        <f>G105</f>
        <v>3</v>
      </c>
      <c r="K105" s="61" t="e">
        <f>#REF!</f>
        <v>#REF!</v>
      </c>
      <c r="L105" s="59" t="e">
        <f t="shared" ref="L105" si="92">J105*K105</f>
        <v>#REF!</v>
      </c>
      <c r="M105" s="60">
        <f>J105</f>
        <v>3</v>
      </c>
      <c r="N105" s="61" t="e">
        <f>#REF!</f>
        <v>#REF!</v>
      </c>
      <c r="O105" s="59" t="e">
        <f t="shared" ref="O105" si="93">M105*N105</f>
        <v>#REF!</v>
      </c>
      <c r="P105" s="60">
        <f>M105</f>
        <v>3</v>
      </c>
      <c r="Q105" s="61" t="e">
        <f>#REF!</f>
        <v>#REF!</v>
      </c>
      <c r="R105" s="59" t="e">
        <f t="shared" ref="R105" si="94">P105*Q105</f>
        <v>#REF!</v>
      </c>
      <c r="S105" s="60">
        <f>P105</f>
        <v>3</v>
      </c>
      <c r="T105" s="61" t="e">
        <f>#REF!</f>
        <v>#REF!</v>
      </c>
      <c r="U105" s="59" t="e">
        <f t="shared" ref="U105" si="95">S105*T105</f>
        <v>#REF!</v>
      </c>
      <c r="V105" s="60">
        <f>S105</f>
        <v>3</v>
      </c>
      <c r="W105" s="61" t="e">
        <f>#REF!</f>
        <v>#REF!</v>
      </c>
      <c r="X105" s="59" t="e">
        <f t="shared" ref="X105" si="96">V105*W105</f>
        <v>#REF!</v>
      </c>
      <c r="Y105" s="60">
        <f>V105</f>
        <v>3</v>
      </c>
      <c r="Z105" s="61" t="e">
        <f>#REF!</f>
        <v>#REF!</v>
      </c>
      <c r="AA105" s="59" t="e">
        <f t="shared" ref="AA105" si="97">Y105*Z105</f>
        <v>#REF!</v>
      </c>
      <c r="AB105" s="60">
        <f>Y105</f>
        <v>3</v>
      </c>
      <c r="AC105" s="61" t="e">
        <f>#REF!</f>
        <v>#REF!</v>
      </c>
      <c r="AD105" s="59" t="e">
        <f t="shared" ref="AD105" si="98">AB105*AC105</f>
        <v>#REF!</v>
      </c>
      <c r="AE105" s="60">
        <f>AB105</f>
        <v>3</v>
      </c>
      <c r="AF105" s="61" t="e">
        <f>#REF!</f>
        <v>#REF!</v>
      </c>
      <c r="AG105" s="59" t="e">
        <f t="shared" ref="AG105" si="99">AE105*AF105</f>
        <v>#REF!</v>
      </c>
      <c r="AH105" s="60">
        <f>AE105</f>
        <v>3</v>
      </c>
      <c r="AI105" s="61">
        <f>E105</f>
        <v>1400000</v>
      </c>
      <c r="AJ105" s="59">
        <f t="shared" ref="AJ105" si="100">AH105*AI105</f>
        <v>4200000</v>
      </c>
      <c r="AK105" s="60">
        <f>AH105</f>
        <v>3</v>
      </c>
      <c r="AL105" s="61" t="e">
        <f>#REF!</f>
        <v>#REF!</v>
      </c>
      <c r="AM105" s="59" t="e">
        <f t="shared" ref="AM105" si="101">AK105*AL105</f>
        <v>#REF!</v>
      </c>
      <c r="AN105" s="60">
        <f>AK105</f>
        <v>3</v>
      </c>
      <c r="AO105" s="61" t="e">
        <f>#REF!</f>
        <v>#REF!</v>
      </c>
      <c r="AP105" s="59" t="e">
        <f t="shared" ref="AP105" si="102">AN105*AO105</f>
        <v>#REF!</v>
      </c>
      <c r="AQ105" s="72" t="s">
        <v>113</v>
      </c>
    </row>
    <row r="106" spans="1:45" ht="16.5" thickTop="1" thickBot="1" x14ac:dyDescent="0.3">
      <c r="A106" s="5">
        <f>'Itemised Rates - June 2021'!A41</f>
        <v>19.600000000000001</v>
      </c>
      <c r="B106" s="28" t="str">
        <f>'Itemised Rates - June 2021'!B41</f>
        <v>Dust suppression</v>
      </c>
      <c r="C106" s="111" t="s">
        <v>26</v>
      </c>
      <c r="D106" s="42">
        <v>3</v>
      </c>
      <c r="E106" s="10">
        <f>'Itemised Rates - June 2021'!D41</f>
        <v>345581.89</v>
      </c>
      <c r="F106" s="15">
        <f t="shared" si="90"/>
        <v>1036745.67</v>
      </c>
      <c r="G106" s="60"/>
      <c r="H106" s="61"/>
      <c r="I106" s="59"/>
      <c r="J106" s="60"/>
      <c r="K106" s="61"/>
      <c r="L106" s="59"/>
      <c r="M106" s="60"/>
      <c r="N106" s="61"/>
      <c r="O106" s="59"/>
      <c r="P106" s="60"/>
      <c r="Q106" s="61"/>
      <c r="R106" s="59"/>
      <c r="S106" s="60"/>
      <c r="T106" s="61"/>
      <c r="U106" s="59"/>
      <c r="V106" s="60"/>
      <c r="W106" s="61"/>
      <c r="X106" s="59"/>
      <c r="Y106" s="60"/>
      <c r="Z106" s="61"/>
      <c r="AA106" s="59"/>
      <c r="AB106" s="60"/>
      <c r="AC106" s="61"/>
      <c r="AD106" s="59"/>
      <c r="AE106" s="60"/>
      <c r="AF106" s="61"/>
      <c r="AG106" s="59"/>
      <c r="AH106" s="60"/>
      <c r="AI106" s="61"/>
      <c r="AJ106" s="59"/>
      <c r="AK106" s="60"/>
      <c r="AL106" s="61"/>
      <c r="AM106" s="59"/>
      <c r="AN106" s="60"/>
      <c r="AO106" s="61"/>
      <c r="AP106" s="59"/>
      <c r="AQ106" s="72"/>
    </row>
    <row r="107" spans="1:45" ht="15.75" thickTop="1" x14ac:dyDescent="0.25">
      <c r="A107" s="5"/>
      <c r="B107" s="211"/>
      <c r="C107" s="212"/>
      <c r="D107" s="197" t="s">
        <v>76</v>
      </c>
      <c r="E107" s="198"/>
      <c r="F107" s="116">
        <f>F6+F7+F9+F10+F13+F15+F18+F20+F23+F24+F25+F27+F28+F29+F32+F35+F38+F40+F43+F44+F47+F50+F54+F55+F56+F57+F59+F60+F61+F62+F66+F67+F68+F69+F70+F72+F73+F77+F78+F79+F81+F82+F83+F84+F85+F86+F89+F91+F94+F95+F97+F99+F101+F103+F104+F105+F106</f>
        <v>154425594.01114002</v>
      </c>
      <c r="G107" s="197" t="s">
        <v>76</v>
      </c>
      <c r="H107" s="198"/>
      <c r="I107" s="58" t="e">
        <f>I6+I7+I9+I10+I13+I15+I18+I20+I23+I24+I25+I27+I28+I29+I32+I35+I38+I40+I43+I44+I47+I50+I54+I55+I56+I57+I59+I60+I61+I62+I66+I67+I68+I69+I70+I72+I73+I81+I82+I83+I84+I85+I89+I91+I94+I97+I99+I101+I102+I103+I104+#REF!</f>
        <v>#REF!</v>
      </c>
      <c r="J107" s="197" t="s">
        <v>76</v>
      </c>
      <c r="K107" s="198"/>
      <c r="L107" s="58" t="e">
        <f>L6+L7+L9+L10+L13+L15+L18+L20+L23+L24+L25+L27+L28+L29+L32+L35+L38+L40+L43+L44+L47+L50+L54+L55+L56+L57+L59+L60+L61+L62+L66+L67+L68+L69+L70+L72+L73+L81+L82+L83+L84+L85+L89+L91+L94+L97+L99+L101+L102+L103+L104+#REF!</f>
        <v>#REF!</v>
      </c>
      <c r="M107" s="197" t="s">
        <v>76</v>
      </c>
      <c r="N107" s="198"/>
      <c r="O107" s="58" t="e">
        <f>O6+O7+O9+O10+O13+O15+O18+O20+O23+O24+O25+O27+O28+O29+O32+O35+O38+O40+O43+O44+O47+O50+O54+O55+O56+O57+O59+O60+O61+O62+O66+O67+O68+O69+O70+O72+O73+O81+O82+O83+O84+O85+O89+O91+O94+O97+O99+O101+O102+O103+O104+#REF!</f>
        <v>#REF!</v>
      </c>
      <c r="P107" s="197" t="s">
        <v>76</v>
      </c>
      <c r="Q107" s="198"/>
      <c r="R107" s="58" t="e">
        <f>R6+R7+R9+R10+R13+R15+R18+R20+R23+R24+R25+R27+R28+R29+R32+R35+R38+R40+R43+R44+R47+R50+R54+R55+R56+R57+R59+R60+R61+R62+R66+R67+R68+R69+R70+R72+R73+R81+R82+R83+R84+R85+R89+R91+R94+R97+R99+R101+R102+R103+R104+#REF!</f>
        <v>#REF!</v>
      </c>
      <c r="S107" s="197" t="s">
        <v>76</v>
      </c>
      <c r="T107" s="198"/>
      <c r="U107" s="58" t="e">
        <f>U6+U7+U9+U10+U13+U15+U18+U20+U23+U24+U25+U27+U28+U29+U32+U35+U38+U40+U43+U44+U47+U50+U54+U55+U56+U57+U59+U60+U61+U62+U66+U67+U68+U69+U70+U72+U73+U81+U82+U83+U84+U85+U89+U91+U94+U97+U99+U101+U102+U103+U104+#REF!</f>
        <v>#REF!</v>
      </c>
      <c r="V107" s="197" t="s">
        <v>76</v>
      </c>
      <c r="W107" s="198"/>
      <c r="X107" s="58" t="e">
        <f>X6+X7+X9+X10+X13+X15+X18+X20+X23+X24+X25+X27+X28+X29+X32+X35+X38+X40+X43+X44+X47+X50+X54+X55+X56+X57+X59+X60+X61+X62+X66+X67+X68+X69+X70+X72+X73+X81+X82+X83+X84+X85+X89+X91+X94+X97+X99+X101+X102+X103+X104+#REF!</f>
        <v>#REF!</v>
      </c>
      <c r="Y107" s="197" t="s">
        <v>76</v>
      </c>
      <c r="Z107" s="198"/>
      <c r="AA107" s="58" t="e">
        <f>AA6+AA7+AA9+AA10+AA13+AA15+AA18+AA20+AA23+AA24+AA25+AA27+AA28+AA29+AA32+AA35+AA38+AA40+AA43+AA44+AA47+AA50+AA54+AA55+AA56+AA57+AA59+AA60+AA61+AA62+AA66+AA67+AA68+AA69+AA70+AA72+AA73+AA81+AA82+AA83+AA84+AA85+AA89+AA91+AA94+AA97+AA99+AA101+AA102+AA103+AA104+#REF!</f>
        <v>#REF!</v>
      </c>
      <c r="AB107" s="197" t="s">
        <v>76</v>
      </c>
      <c r="AC107" s="198"/>
      <c r="AD107" s="58" t="e">
        <f>AD6+AD7+AD9+AD10+AD13+AD15+AD18+AD20+AD23+AD24+AD25+AD27+AD28+AD29+AD32+AD35+AD38+AD40+AD43+AD44+AD47+AD50+AD54+AD55+AD56+AD57+AD59+AD60+AD61+AD62+AD66+AD67+AD68+AD69+AD70+AD72+AD73+AD81+AD82+AD83+AD84+AD85+AD89+AD91+AD94+AD97+AD99+AD101+AD102+AD103+AD104+#REF!</f>
        <v>#REF!</v>
      </c>
      <c r="AE107" s="197" t="s">
        <v>76</v>
      </c>
      <c r="AF107" s="198"/>
      <c r="AG107" s="58" t="e">
        <f>AG6+AG7+AG9+AG10+AG13+AG15+AG18+AG20+AG23+AG24+AG25+AG27+AG28+AG29+AG32+AG35+AG38+AG40+AG43+AG44+AG47+AG50+AG54+AG55+AG56+AG57+AG59+AG60+AG61+AG62+AG66+AG67+AG68+AG69+AG70+AG72+AG73+AG81+AG82+AG83+AG84+AG85+AG89+AG91+AG94+AG97+AG99+AG101+AG102+AG103+AG104+#REF!</f>
        <v>#REF!</v>
      </c>
      <c r="AH107" s="197" t="s">
        <v>76</v>
      </c>
      <c r="AI107" s="198"/>
      <c r="AJ107" s="58" t="e">
        <f>AJ6+AJ7+AJ9+AJ10+AJ13+AJ15+AJ18+AJ20+AJ23+AJ24+AJ25+AJ27+AJ28+AJ29+AJ32+AJ35+AJ38+AJ40+AJ43+AJ44+AJ47+AJ50+AJ54+AJ55+AJ56+AJ57+AJ59+AJ60+AJ61+AJ62+AJ66+AJ67+AJ68+AJ69+AJ70+AJ72+AJ73+AJ81+AJ82+AJ83+AJ84+AJ85+AJ89+AJ91+AJ94+AJ97+AJ99+AJ101+AJ102+AJ103+AJ104+#REF!</f>
        <v>#REF!</v>
      </c>
      <c r="AK107" s="197" t="s">
        <v>76</v>
      </c>
      <c r="AL107" s="198"/>
      <c r="AM107" s="58" t="e">
        <f>AM6+AM7+AM9+AM10+AM13+AM15+AM18+AM20+AM23+AM24+AM25+AM27+AM28+AM29+AM32+AM35+AM38+AM40+AM43+AM44+AM47+AM50+AM54+AM55+AM56+AM57+AM59+AM60+AM61+AM62+AM66+AM67+AM68+AM69+AM70+AM72+AM73+AM81+AM82+AM83+AM84+AM85+AM89+AM91+AM94+AM97+AM99+AM101+AM102+AM103+AM104+#REF!</f>
        <v>#REF!</v>
      </c>
      <c r="AN107" s="197" t="s">
        <v>76</v>
      </c>
      <c r="AO107" s="198"/>
      <c r="AP107" s="58" t="e">
        <f>AP6+AP7+AP9+AP10+AP13+AP15+AP18+AP20+AP23+AP24+AP25+AP27+AP28+AP29+AP32+AP35+AP38+AP40+AP43+AP44+AP47+AP50+AP54+AP55+AP56+AP57+AP59+AP60+AP61+AP62+AP66+AP67+AP68+AP69+AP70+AP72+AP73+AP81+AP82+AP83+AP84+AP85+AP89+AP91+AP94+AP97+AP99+AP101+AP102+AP103+AP104+#REF!</f>
        <v>#REF!</v>
      </c>
      <c r="AQ107" s="73"/>
      <c r="AS107" s="96"/>
    </row>
    <row r="108" spans="1:45" x14ac:dyDescent="0.25">
      <c r="A108" s="5"/>
      <c r="B108" s="213" t="s">
        <v>77</v>
      </c>
      <c r="C108" s="214"/>
      <c r="D108" s="215"/>
      <c r="E108" s="216"/>
      <c r="F108" s="55"/>
      <c r="G108" s="228"/>
      <c r="H108" s="229"/>
      <c r="I108" s="230"/>
      <c r="J108" s="37"/>
      <c r="K108" s="38"/>
      <c r="L108" s="41"/>
      <c r="M108" s="37"/>
      <c r="N108" s="38"/>
      <c r="O108" s="41"/>
      <c r="P108" s="37"/>
      <c r="Q108" s="38"/>
      <c r="R108" s="41"/>
      <c r="S108" s="37"/>
      <c r="T108" s="38"/>
      <c r="U108" s="41"/>
      <c r="V108" s="37"/>
      <c r="W108" s="38"/>
      <c r="X108" s="41"/>
      <c r="Y108" s="37"/>
      <c r="Z108" s="38"/>
      <c r="AA108" s="41"/>
      <c r="AB108" s="37"/>
      <c r="AC108" s="38"/>
      <c r="AD108" s="41"/>
      <c r="AE108" s="37"/>
      <c r="AF108" s="38"/>
      <c r="AG108" s="41"/>
      <c r="AH108" s="37"/>
      <c r="AI108" s="38"/>
      <c r="AJ108" s="41"/>
      <c r="AK108" s="37"/>
      <c r="AL108" s="38"/>
      <c r="AM108" s="41"/>
      <c r="AN108" s="37"/>
      <c r="AO108" s="38"/>
      <c r="AP108" s="38"/>
      <c r="AQ108" s="73"/>
    </row>
    <row r="109" spans="1:45" x14ac:dyDescent="0.25">
      <c r="A109" s="5"/>
      <c r="B109" s="199" t="s">
        <v>38</v>
      </c>
      <c r="C109" s="200"/>
      <c r="D109" s="201"/>
      <c r="E109" s="202"/>
      <c r="F109" s="31">
        <f>F107*0.06</f>
        <v>9265535.6406684015</v>
      </c>
      <c r="G109" s="195"/>
      <c r="H109" s="196"/>
      <c r="I109" s="15" t="e">
        <f>I107*0.06</f>
        <v>#REF!</v>
      </c>
      <c r="J109" s="195"/>
      <c r="K109" s="196"/>
      <c r="L109" s="15" t="e">
        <f>L107*0.06</f>
        <v>#REF!</v>
      </c>
      <c r="M109" s="195"/>
      <c r="N109" s="196"/>
      <c r="O109" s="15" t="e">
        <f>O107*0.06</f>
        <v>#REF!</v>
      </c>
      <c r="P109" s="195"/>
      <c r="Q109" s="196"/>
      <c r="R109" s="15" t="e">
        <f>R107*0.06</f>
        <v>#REF!</v>
      </c>
      <c r="S109" s="195"/>
      <c r="T109" s="196"/>
      <c r="U109" s="15" t="e">
        <f>U107*0.06</f>
        <v>#REF!</v>
      </c>
      <c r="V109" s="195"/>
      <c r="W109" s="196"/>
      <c r="X109" s="15" t="e">
        <f>X107*0.06</f>
        <v>#REF!</v>
      </c>
      <c r="Y109" s="195"/>
      <c r="Z109" s="196"/>
      <c r="AA109" s="15" t="e">
        <f>AA107*0.06</f>
        <v>#REF!</v>
      </c>
      <c r="AB109" s="195"/>
      <c r="AC109" s="196"/>
      <c r="AD109" s="15" t="e">
        <f>AD107*0.06</f>
        <v>#REF!</v>
      </c>
      <c r="AE109" s="195"/>
      <c r="AF109" s="196"/>
      <c r="AG109" s="15" t="e">
        <f>AG107*0.06</f>
        <v>#REF!</v>
      </c>
      <c r="AH109" s="195"/>
      <c r="AI109" s="196"/>
      <c r="AJ109" s="15" t="e">
        <f>AJ107*0.06</f>
        <v>#REF!</v>
      </c>
      <c r="AK109" s="195"/>
      <c r="AL109" s="196"/>
      <c r="AM109" s="15" t="e">
        <f>AM107*0.06</f>
        <v>#REF!</v>
      </c>
      <c r="AN109" s="195"/>
      <c r="AO109" s="196"/>
      <c r="AP109" s="31" t="e">
        <f>AP107*0.06</f>
        <v>#REF!</v>
      </c>
      <c r="AQ109" s="73"/>
    </row>
    <row r="110" spans="1:45" x14ac:dyDescent="0.25">
      <c r="A110" s="5"/>
      <c r="B110" s="199" t="s">
        <v>39</v>
      </c>
      <c r="C110" s="200"/>
      <c r="D110" s="201"/>
      <c r="E110" s="202"/>
      <c r="F110" s="31">
        <f>F107*0.1</f>
        <v>15442559.401114002</v>
      </c>
      <c r="G110" s="195"/>
      <c r="H110" s="196"/>
      <c r="I110" s="15" t="e">
        <f>I107*0.1</f>
        <v>#REF!</v>
      </c>
      <c r="J110" s="195"/>
      <c r="K110" s="196"/>
      <c r="L110" s="15" t="e">
        <f>L107*0.1</f>
        <v>#REF!</v>
      </c>
      <c r="M110" s="195"/>
      <c r="N110" s="196"/>
      <c r="O110" s="15" t="e">
        <f>O107*0.1</f>
        <v>#REF!</v>
      </c>
      <c r="P110" s="195"/>
      <c r="Q110" s="196"/>
      <c r="R110" s="15" t="e">
        <f>R107*0.1</f>
        <v>#REF!</v>
      </c>
      <c r="S110" s="195"/>
      <c r="T110" s="196"/>
      <c r="U110" s="15" t="e">
        <f>U107*0.1</f>
        <v>#REF!</v>
      </c>
      <c r="V110" s="195"/>
      <c r="W110" s="196"/>
      <c r="X110" s="15" t="e">
        <f>X107*0.1</f>
        <v>#REF!</v>
      </c>
      <c r="Y110" s="195"/>
      <c r="Z110" s="196"/>
      <c r="AA110" s="15" t="e">
        <f>AA107*0.1</f>
        <v>#REF!</v>
      </c>
      <c r="AB110" s="195"/>
      <c r="AC110" s="196"/>
      <c r="AD110" s="15" t="e">
        <f>AD107*0.1</f>
        <v>#REF!</v>
      </c>
      <c r="AE110" s="195"/>
      <c r="AF110" s="196"/>
      <c r="AG110" s="15" t="e">
        <f>AG107*0.1</f>
        <v>#REF!</v>
      </c>
      <c r="AH110" s="195"/>
      <c r="AI110" s="196"/>
      <c r="AJ110" s="15" t="e">
        <f>AJ107*0.1</f>
        <v>#REF!</v>
      </c>
      <c r="AK110" s="195"/>
      <c r="AL110" s="196"/>
      <c r="AM110" s="15" t="e">
        <f>AM107*0.1</f>
        <v>#REF!</v>
      </c>
      <c r="AN110" s="195"/>
      <c r="AO110" s="196"/>
      <c r="AP110" s="31" t="e">
        <f>AP107*0.1</f>
        <v>#REF!</v>
      </c>
      <c r="AQ110" s="73"/>
    </row>
    <row r="111" spans="1:45" x14ac:dyDescent="0.25">
      <c r="A111" s="5"/>
      <c r="B111" s="199" t="s">
        <v>273</v>
      </c>
      <c r="C111" s="200"/>
      <c r="D111" s="201"/>
      <c r="E111" s="202"/>
      <c r="F111" s="31">
        <f>F107*0.02</f>
        <v>3088511.8802228007</v>
      </c>
      <c r="G111" s="195"/>
      <c r="H111" s="196"/>
      <c r="I111" s="31" t="e">
        <f>I107*0.02</f>
        <v>#REF!</v>
      </c>
      <c r="J111" s="195"/>
      <c r="K111" s="196"/>
      <c r="L111" s="31" t="e">
        <f>L107*0.02</f>
        <v>#REF!</v>
      </c>
      <c r="M111" s="195"/>
      <c r="N111" s="196"/>
      <c r="O111" s="31" t="e">
        <f>O107*0.02</f>
        <v>#REF!</v>
      </c>
      <c r="P111" s="195"/>
      <c r="Q111" s="196"/>
      <c r="R111" s="31" t="e">
        <f>R107*0.02</f>
        <v>#REF!</v>
      </c>
      <c r="S111" s="195"/>
      <c r="T111" s="196"/>
      <c r="U111" s="31" t="e">
        <f>U107*0.02</f>
        <v>#REF!</v>
      </c>
      <c r="V111" s="195"/>
      <c r="W111" s="196"/>
      <c r="X111" s="31" t="e">
        <f>X107*0.02</f>
        <v>#REF!</v>
      </c>
      <c r="Y111" s="195"/>
      <c r="Z111" s="196"/>
      <c r="AA111" s="31" t="e">
        <f>AA107*0.02</f>
        <v>#REF!</v>
      </c>
      <c r="AB111" s="195"/>
      <c r="AC111" s="196"/>
      <c r="AD111" s="31" t="e">
        <f>AD107*0.02</f>
        <v>#REF!</v>
      </c>
      <c r="AE111" s="195"/>
      <c r="AF111" s="196"/>
      <c r="AG111" s="31" t="e">
        <f>AG107*0.02</f>
        <v>#REF!</v>
      </c>
      <c r="AH111" s="195"/>
      <c r="AI111" s="196"/>
      <c r="AJ111" s="31" t="e">
        <f>AJ107*0.02</f>
        <v>#REF!</v>
      </c>
      <c r="AK111" s="195"/>
      <c r="AL111" s="196"/>
      <c r="AM111" s="31" t="e">
        <f>AM107*0.02</f>
        <v>#REF!</v>
      </c>
      <c r="AN111" s="195"/>
      <c r="AO111" s="196"/>
      <c r="AP111" s="31" t="e">
        <f>AP107*0.02</f>
        <v>#REF!</v>
      </c>
      <c r="AQ111" s="73"/>
    </row>
    <row r="112" spans="1:45" x14ac:dyDescent="0.25">
      <c r="A112" s="5"/>
      <c r="B112" s="203"/>
      <c r="C112" s="204"/>
      <c r="D112" s="205" t="s">
        <v>19</v>
      </c>
      <c r="E112" s="186"/>
      <c r="F112" s="32">
        <f>F107+F109+F110+F111</f>
        <v>182222200.93314523</v>
      </c>
      <c r="G112" s="205" t="s">
        <v>19</v>
      </c>
      <c r="H112" s="186"/>
      <c r="I112" s="32" t="e">
        <f>I107+I109+I110+I111</f>
        <v>#REF!</v>
      </c>
      <c r="J112" s="205" t="s">
        <v>19</v>
      </c>
      <c r="K112" s="186"/>
      <c r="L112" s="32" t="e">
        <f>L107+L109+L110+L111</f>
        <v>#REF!</v>
      </c>
      <c r="M112" s="205" t="s">
        <v>19</v>
      </c>
      <c r="N112" s="186"/>
      <c r="O112" s="32" t="e">
        <f>O107+O109+O110+O111</f>
        <v>#REF!</v>
      </c>
      <c r="P112" s="205" t="s">
        <v>19</v>
      </c>
      <c r="Q112" s="186"/>
      <c r="R112" s="32" t="e">
        <f>R107+R109+R110+R111</f>
        <v>#REF!</v>
      </c>
      <c r="S112" s="205" t="s">
        <v>19</v>
      </c>
      <c r="T112" s="186"/>
      <c r="U112" s="32" t="e">
        <f>U107+U109+U110+U111</f>
        <v>#REF!</v>
      </c>
      <c r="V112" s="205" t="s">
        <v>19</v>
      </c>
      <c r="W112" s="186"/>
      <c r="X112" s="32" t="e">
        <f>X107+X109+X110+X111</f>
        <v>#REF!</v>
      </c>
      <c r="Y112" s="205" t="s">
        <v>19</v>
      </c>
      <c r="Z112" s="186"/>
      <c r="AA112" s="32" t="e">
        <f>AA107+AA109+AA110+AA111</f>
        <v>#REF!</v>
      </c>
      <c r="AB112" s="205" t="s">
        <v>19</v>
      </c>
      <c r="AC112" s="186"/>
      <c r="AD112" s="32" t="e">
        <f>AD107+AD109+AD110+AD111</f>
        <v>#REF!</v>
      </c>
      <c r="AE112" s="205" t="s">
        <v>19</v>
      </c>
      <c r="AF112" s="186"/>
      <c r="AG112" s="32" t="e">
        <f>AG107+AG109+AG110+AG111</f>
        <v>#REF!</v>
      </c>
      <c r="AH112" s="205" t="s">
        <v>19</v>
      </c>
      <c r="AI112" s="186"/>
      <c r="AJ112" s="32" t="e">
        <f>AJ107+AJ109+AJ110+AJ111</f>
        <v>#REF!</v>
      </c>
      <c r="AK112" s="205" t="s">
        <v>19</v>
      </c>
      <c r="AL112" s="186"/>
      <c r="AM112" s="32" t="e">
        <f>AM107+AM109+AM110+AM111</f>
        <v>#REF!</v>
      </c>
      <c r="AN112" s="205" t="s">
        <v>19</v>
      </c>
      <c r="AO112" s="186"/>
      <c r="AP112" s="32" t="e">
        <f>AP107+AP109+AP110+AP111</f>
        <v>#REF!</v>
      </c>
      <c r="AQ112" s="73"/>
    </row>
  </sheetData>
  <sheetProtection formatCells="0" formatColumns="0" formatRows="0" insertColumns="0" insertRows="0" insertHyperlinks="0" deleteColumns="0" deleteRows="0" sort="0" autoFilter="0" pivotTables="0"/>
  <mergeCells count="496">
    <mergeCell ref="AQ1:AQ2"/>
    <mergeCell ref="AH112:AI112"/>
    <mergeCell ref="AK112:AL112"/>
    <mergeCell ref="AN112:AO112"/>
    <mergeCell ref="G112:H112"/>
    <mergeCell ref="J112:K112"/>
    <mergeCell ref="M112:N112"/>
    <mergeCell ref="P112:Q112"/>
    <mergeCell ref="S112:T112"/>
    <mergeCell ref="V112:W112"/>
    <mergeCell ref="Y112:Z112"/>
    <mergeCell ref="AB112:AC112"/>
    <mergeCell ref="AE112:AF112"/>
    <mergeCell ref="M109:N109"/>
    <mergeCell ref="M110:N110"/>
    <mergeCell ref="G107:H107"/>
    <mergeCell ref="J107:K107"/>
    <mergeCell ref="M107:N107"/>
    <mergeCell ref="P107:Q107"/>
    <mergeCell ref="S96:U96"/>
    <mergeCell ref="Y96:AA96"/>
    <mergeCell ref="S111:T111"/>
    <mergeCell ref="S107:T107"/>
    <mergeCell ref="V107:W107"/>
    <mergeCell ref="A1:C1"/>
    <mergeCell ref="A2:C2"/>
    <mergeCell ref="AH1:AJ2"/>
    <mergeCell ref="AK1:AM2"/>
    <mergeCell ref="AN1:AP2"/>
    <mergeCell ref="S1:U2"/>
    <mergeCell ref="V1:X2"/>
    <mergeCell ref="Y1:AA2"/>
    <mergeCell ref="AB1:AD2"/>
    <mergeCell ref="AE1:AG2"/>
    <mergeCell ref="G1:I2"/>
    <mergeCell ref="J1:L2"/>
    <mergeCell ref="M1:O2"/>
    <mergeCell ref="P1:R2"/>
    <mergeCell ref="G100:I100"/>
    <mergeCell ref="G108:I108"/>
    <mergeCell ref="G111:H111"/>
    <mergeCell ref="J111:K111"/>
    <mergeCell ref="M111:N111"/>
    <mergeCell ref="S110:T110"/>
    <mergeCell ref="P110:Q110"/>
    <mergeCell ref="P111:Q111"/>
    <mergeCell ref="D1:F2"/>
    <mergeCell ref="G98:I98"/>
    <mergeCell ref="G8:I8"/>
    <mergeCell ref="D14:F14"/>
    <mergeCell ref="D39:F39"/>
    <mergeCell ref="D34:F34"/>
    <mergeCell ref="P34:R34"/>
    <mergeCell ref="P37:R37"/>
    <mergeCell ref="P39:R39"/>
    <mergeCell ref="P42:R42"/>
    <mergeCell ref="P46:R46"/>
    <mergeCell ref="P17:R17"/>
    <mergeCell ref="P19:R19"/>
    <mergeCell ref="P22:R22"/>
    <mergeCell ref="P26:R26"/>
    <mergeCell ref="P31:R31"/>
    <mergeCell ref="V96:X96"/>
    <mergeCell ref="G42:I42"/>
    <mergeCell ref="G46:I46"/>
    <mergeCell ref="G49:I49"/>
    <mergeCell ref="G109:H109"/>
    <mergeCell ref="G110:H110"/>
    <mergeCell ref="J109:K109"/>
    <mergeCell ref="J110:K110"/>
    <mergeCell ref="G4:I4"/>
    <mergeCell ref="G11:I11"/>
    <mergeCell ref="G16:I16"/>
    <mergeCell ref="G21:I21"/>
    <mergeCell ref="G30:I30"/>
    <mergeCell ref="G33:I33"/>
    <mergeCell ref="G36:I36"/>
    <mergeCell ref="G41:I41"/>
    <mergeCell ref="G45:I45"/>
    <mergeCell ref="G48:I48"/>
    <mergeCell ref="G51:I51"/>
    <mergeCell ref="G5:I5"/>
    <mergeCell ref="G12:I12"/>
    <mergeCell ref="G17:I17"/>
    <mergeCell ref="B14:C14"/>
    <mergeCell ref="D16:F16"/>
    <mergeCell ref="B16:C16"/>
    <mergeCell ref="D17:F17"/>
    <mergeCell ref="B17:C17"/>
    <mergeCell ref="D19:F19"/>
    <mergeCell ref="B19:C19"/>
    <mergeCell ref="D22:F22"/>
    <mergeCell ref="B22:C22"/>
    <mergeCell ref="B21:C21"/>
    <mergeCell ref="B34:C34"/>
    <mergeCell ref="D26:F26"/>
    <mergeCell ref="B26:C26"/>
    <mergeCell ref="D30:F30"/>
    <mergeCell ref="B30:C30"/>
    <mergeCell ref="D31:F31"/>
    <mergeCell ref="B31:C31"/>
    <mergeCell ref="D36:F36"/>
    <mergeCell ref="B36:C36"/>
    <mergeCell ref="D4:F4"/>
    <mergeCell ref="B4:C4"/>
    <mergeCell ref="D5:F5"/>
    <mergeCell ref="B5:C5"/>
    <mergeCell ref="G90:I90"/>
    <mergeCell ref="G93:I93"/>
    <mergeCell ref="G96:I96"/>
    <mergeCell ref="B87:C87"/>
    <mergeCell ref="D87:F87"/>
    <mergeCell ref="B92:C92"/>
    <mergeCell ref="D92:F92"/>
    <mergeCell ref="B80:C80"/>
    <mergeCell ref="D80:F80"/>
    <mergeCell ref="B88:C88"/>
    <mergeCell ref="G92:I92"/>
    <mergeCell ref="G14:I14"/>
    <mergeCell ref="G19:I19"/>
    <mergeCell ref="G22:I22"/>
    <mergeCell ref="G26:I26"/>
    <mergeCell ref="G31:I31"/>
    <mergeCell ref="B33:C33"/>
    <mergeCell ref="D21:F21"/>
    <mergeCell ref="Y88:AA88"/>
    <mergeCell ref="Y90:AA90"/>
    <mergeCell ref="J88:L88"/>
    <mergeCell ref="J90:L90"/>
    <mergeCell ref="M88:O88"/>
    <mergeCell ref="M90:O90"/>
    <mergeCell ref="P88:R88"/>
    <mergeCell ref="P90:R90"/>
    <mergeCell ref="Y87:AA87"/>
    <mergeCell ref="J87:L87"/>
    <mergeCell ref="M87:O87"/>
    <mergeCell ref="P87:R87"/>
    <mergeCell ref="S87:U87"/>
    <mergeCell ref="V87:X87"/>
    <mergeCell ref="M5:O5"/>
    <mergeCell ref="M8:O8"/>
    <mergeCell ref="M12:O12"/>
    <mergeCell ref="M14:O14"/>
    <mergeCell ref="J53:L53"/>
    <mergeCell ref="G53:I53"/>
    <mergeCell ref="J93:L93"/>
    <mergeCell ref="J96:L96"/>
    <mergeCell ref="G71:I71"/>
    <mergeCell ref="J71:L71"/>
    <mergeCell ref="G75:I75"/>
    <mergeCell ref="G80:I80"/>
    <mergeCell ref="J75:L75"/>
    <mergeCell ref="J80:L80"/>
    <mergeCell ref="J42:L42"/>
    <mergeCell ref="J46:L46"/>
    <mergeCell ref="J49:L49"/>
    <mergeCell ref="J52:L52"/>
    <mergeCell ref="G52:I52"/>
    <mergeCell ref="J5:L5"/>
    <mergeCell ref="J8:L8"/>
    <mergeCell ref="J12:L12"/>
    <mergeCell ref="G39:I39"/>
    <mergeCell ref="G87:I87"/>
    <mergeCell ref="P5:R5"/>
    <mergeCell ref="P8:R8"/>
    <mergeCell ref="P12:R12"/>
    <mergeCell ref="P14:R14"/>
    <mergeCell ref="M49:O49"/>
    <mergeCell ref="M52:O52"/>
    <mergeCell ref="M53:O53"/>
    <mergeCell ref="M93:O93"/>
    <mergeCell ref="M71:O71"/>
    <mergeCell ref="M75:O75"/>
    <mergeCell ref="M80:O80"/>
    <mergeCell ref="M34:O34"/>
    <mergeCell ref="M37:O37"/>
    <mergeCell ref="M39:O39"/>
    <mergeCell ref="M42:O42"/>
    <mergeCell ref="M46:O46"/>
    <mergeCell ref="M17:O17"/>
    <mergeCell ref="M19:O19"/>
    <mergeCell ref="M22:O22"/>
    <mergeCell ref="M26:O26"/>
    <mergeCell ref="M31:O31"/>
    <mergeCell ref="P49:R49"/>
    <mergeCell ref="P52:R52"/>
    <mergeCell ref="P53:R53"/>
    <mergeCell ref="P93:R93"/>
    <mergeCell ref="P96:R96"/>
    <mergeCell ref="P71:R71"/>
    <mergeCell ref="P75:R75"/>
    <mergeCell ref="P80:R80"/>
    <mergeCell ref="S93:U93"/>
    <mergeCell ref="S71:U71"/>
    <mergeCell ref="S75:U75"/>
    <mergeCell ref="S80:U80"/>
    <mergeCell ref="S37:U37"/>
    <mergeCell ref="S39:U39"/>
    <mergeCell ref="S42:U42"/>
    <mergeCell ref="S88:U88"/>
    <mergeCell ref="S90:U90"/>
    <mergeCell ref="V5:X5"/>
    <mergeCell ref="V8:X8"/>
    <mergeCell ref="V12:X12"/>
    <mergeCell ref="V14:X14"/>
    <mergeCell ref="S46:U46"/>
    <mergeCell ref="S49:U49"/>
    <mergeCell ref="S52:U52"/>
    <mergeCell ref="S53:U53"/>
    <mergeCell ref="S17:U17"/>
    <mergeCell ref="S19:U19"/>
    <mergeCell ref="S22:U22"/>
    <mergeCell ref="S26:U26"/>
    <mergeCell ref="S31:U31"/>
    <mergeCell ref="S5:U5"/>
    <mergeCell ref="S8:U8"/>
    <mergeCell ref="S12:U12"/>
    <mergeCell ref="V90:X90"/>
    <mergeCell ref="S14:U14"/>
    <mergeCell ref="Y5:AA5"/>
    <mergeCell ref="Y8:AA8"/>
    <mergeCell ref="Y12:AA12"/>
    <mergeCell ref="Y14:AA14"/>
    <mergeCell ref="V49:X49"/>
    <mergeCell ref="V52:X52"/>
    <mergeCell ref="V53:X53"/>
    <mergeCell ref="V93:X93"/>
    <mergeCell ref="V71:X71"/>
    <mergeCell ref="V75:X75"/>
    <mergeCell ref="V80:X80"/>
    <mergeCell ref="V34:X34"/>
    <mergeCell ref="V37:X37"/>
    <mergeCell ref="V39:X39"/>
    <mergeCell ref="V42:X42"/>
    <mergeCell ref="V46:X46"/>
    <mergeCell ref="V17:X17"/>
    <mergeCell ref="V19:X19"/>
    <mergeCell ref="V22:X22"/>
    <mergeCell ref="V26:X26"/>
    <mergeCell ref="V31:X31"/>
    <mergeCell ref="V88:X88"/>
    <mergeCell ref="S34:U34"/>
    <mergeCell ref="AB5:AD5"/>
    <mergeCell ref="AB8:AD8"/>
    <mergeCell ref="AB12:AD12"/>
    <mergeCell ref="AB14:AD14"/>
    <mergeCell ref="Y49:AA49"/>
    <mergeCell ref="Y52:AA52"/>
    <mergeCell ref="Y53:AA53"/>
    <mergeCell ref="Y93:AA93"/>
    <mergeCell ref="Y71:AA71"/>
    <mergeCell ref="Y75:AA75"/>
    <mergeCell ref="Y80:AA80"/>
    <mergeCell ref="Y34:AA34"/>
    <mergeCell ref="Y37:AA37"/>
    <mergeCell ref="Y39:AA39"/>
    <mergeCell ref="Y42:AA42"/>
    <mergeCell ref="Y46:AA46"/>
    <mergeCell ref="Y17:AA17"/>
    <mergeCell ref="Y19:AA19"/>
    <mergeCell ref="Y22:AA22"/>
    <mergeCell ref="Y26:AA26"/>
    <mergeCell ref="Y31:AA31"/>
    <mergeCell ref="AB34:AD34"/>
    <mergeCell ref="AB37:AD37"/>
    <mergeCell ref="AB39:AD39"/>
    <mergeCell ref="AB42:AD42"/>
    <mergeCell ref="AB46:AD46"/>
    <mergeCell ref="AB17:AD17"/>
    <mergeCell ref="AB19:AD19"/>
    <mergeCell ref="AB22:AD22"/>
    <mergeCell ref="AB26:AD26"/>
    <mergeCell ref="AB31:AD31"/>
    <mergeCell ref="AB49:AD49"/>
    <mergeCell ref="AB52:AD52"/>
    <mergeCell ref="AB53:AD53"/>
    <mergeCell ref="AB93:AD93"/>
    <mergeCell ref="AB96:AD96"/>
    <mergeCell ref="AB71:AD71"/>
    <mergeCell ref="AB75:AD75"/>
    <mergeCell ref="AB80:AD80"/>
    <mergeCell ref="AB88:AD88"/>
    <mergeCell ref="AB90:AD90"/>
    <mergeCell ref="AB87:AD87"/>
    <mergeCell ref="AE96:AG96"/>
    <mergeCell ref="AE71:AG71"/>
    <mergeCell ref="AE75:AG75"/>
    <mergeCell ref="AE80:AG80"/>
    <mergeCell ref="AE34:AG34"/>
    <mergeCell ref="AE37:AG37"/>
    <mergeCell ref="AE39:AG39"/>
    <mergeCell ref="AE42:AG42"/>
    <mergeCell ref="AE46:AG46"/>
    <mergeCell ref="AE88:AG88"/>
    <mergeCell ref="AE90:AG90"/>
    <mergeCell ref="AE87:AG87"/>
    <mergeCell ref="AH5:AJ5"/>
    <mergeCell ref="AH8:AJ8"/>
    <mergeCell ref="AH12:AJ12"/>
    <mergeCell ref="AH14:AJ14"/>
    <mergeCell ref="AE49:AG49"/>
    <mergeCell ref="AE52:AG52"/>
    <mergeCell ref="AE53:AG53"/>
    <mergeCell ref="AE93:AG93"/>
    <mergeCell ref="AE17:AG17"/>
    <mergeCell ref="AE19:AG19"/>
    <mergeCell ref="AE22:AG22"/>
    <mergeCell ref="AE26:AG26"/>
    <mergeCell ref="AE31:AG31"/>
    <mergeCell ref="AE5:AG5"/>
    <mergeCell ref="AE8:AG8"/>
    <mergeCell ref="AE12:AG12"/>
    <mergeCell ref="AE14:AG14"/>
    <mergeCell ref="AH88:AJ88"/>
    <mergeCell ref="AH90:AJ90"/>
    <mergeCell ref="AH34:AJ34"/>
    <mergeCell ref="AH37:AJ37"/>
    <mergeCell ref="AH39:AJ39"/>
    <mergeCell ref="AH42:AJ42"/>
    <mergeCell ref="AH46:AJ46"/>
    <mergeCell ref="AH17:AJ17"/>
    <mergeCell ref="AH19:AJ19"/>
    <mergeCell ref="AH22:AJ22"/>
    <mergeCell ref="AH26:AJ26"/>
    <mergeCell ref="AH31:AJ31"/>
    <mergeCell ref="AH49:AJ49"/>
    <mergeCell ref="AH52:AJ52"/>
    <mergeCell ref="AH53:AJ53"/>
    <mergeCell ref="AH93:AJ93"/>
    <mergeCell ref="AH96:AJ96"/>
    <mergeCell ref="AH71:AJ71"/>
    <mergeCell ref="AH75:AJ75"/>
    <mergeCell ref="AH80:AJ80"/>
    <mergeCell ref="AK96:AM96"/>
    <mergeCell ref="AK71:AM71"/>
    <mergeCell ref="AK75:AM75"/>
    <mergeCell ref="AK80:AM80"/>
    <mergeCell ref="AK93:AM93"/>
    <mergeCell ref="AK88:AM88"/>
    <mergeCell ref="AK90:AM90"/>
    <mergeCell ref="AH87:AJ87"/>
    <mergeCell ref="AK87:AM87"/>
    <mergeCell ref="AN5:AP5"/>
    <mergeCell ref="AN8:AP8"/>
    <mergeCell ref="AN12:AP12"/>
    <mergeCell ref="AN14:AP14"/>
    <mergeCell ref="AK49:AM49"/>
    <mergeCell ref="AK52:AM52"/>
    <mergeCell ref="AK53:AM53"/>
    <mergeCell ref="AK17:AM17"/>
    <mergeCell ref="AK19:AM19"/>
    <mergeCell ref="AK22:AM22"/>
    <mergeCell ref="AK26:AM26"/>
    <mergeCell ref="AK31:AM31"/>
    <mergeCell ref="AK5:AM5"/>
    <mergeCell ref="AK8:AM8"/>
    <mergeCell ref="AK12:AM12"/>
    <mergeCell ref="AK14:AM14"/>
    <mergeCell ref="AK34:AM34"/>
    <mergeCell ref="AK37:AM37"/>
    <mergeCell ref="AK39:AM39"/>
    <mergeCell ref="AK42:AM42"/>
    <mergeCell ref="AK46:AM46"/>
    <mergeCell ref="AN88:AP88"/>
    <mergeCell ref="AN90:AP90"/>
    <mergeCell ref="AN87:AP87"/>
    <mergeCell ref="AN34:AP34"/>
    <mergeCell ref="AN37:AP37"/>
    <mergeCell ref="AN39:AP39"/>
    <mergeCell ref="AN42:AP42"/>
    <mergeCell ref="AN46:AP46"/>
    <mergeCell ref="AN17:AP17"/>
    <mergeCell ref="AN19:AP19"/>
    <mergeCell ref="AN22:AP22"/>
    <mergeCell ref="AN26:AP26"/>
    <mergeCell ref="AN31:AP31"/>
    <mergeCell ref="AN49:AP49"/>
    <mergeCell ref="AN52:AP52"/>
    <mergeCell ref="AN53:AP53"/>
    <mergeCell ref="AN93:AP93"/>
    <mergeCell ref="AN96:AP96"/>
    <mergeCell ref="AN71:AP71"/>
    <mergeCell ref="AN75:AP75"/>
    <mergeCell ref="AN80:AP80"/>
    <mergeCell ref="D8:F8"/>
    <mergeCell ref="B8:C8"/>
    <mergeCell ref="D11:F11"/>
    <mergeCell ref="B11:C11"/>
    <mergeCell ref="D12:F12"/>
    <mergeCell ref="B12:C12"/>
    <mergeCell ref="M96:O96"/>
    <mergeCell ref="J14:L14"/>
    <mergeCell ref="J17:L17"/>
    <mergeCell ref="J19:L19"/>
    <mergeCell ref="J22:L22"/>
    <mergeCell ref="J26:L26"/>
    <mergeCell ref="J31:L31"/>
    <mergeCell ref="J34:L34"/>
    <mergeCell ref="J37:L37"/>
    <mergeCell ref="J39:L39"/>
    <mergeCell ref="G34:I34"/>
    <mergeCell ref="G37:I37"/>
    <mergeCell ref="D33:F33"/>
    <mergeCell ref="B93:C93"/>
    <mergeCell ref="D93:F93"/>
    <mergeCell ref="B71:C71"/>
    <mergeCell ref="D71:F71"/>
    <mergeCell ref="B75:C75"/>
    <mergeCell ref="D75:F75"/>
    <mergeCell ref="D41:F41"/>
    <mergeCell ref="B41:C41"/>
    <mergeCell ref="D42:F42"/>
    <mergeCell ref="B42:C42"/>
    <mergeCell ref="B90:C90"/>
    <mergeCell ref="D90:F90"/>
    <mergeCell ref="D74:F74"/>
    <mergeCell ref="D45:F45"/>
    <mergeCell ref="B52:C52"/>
    <mergeCell ref="D52:F52"/>
    <mergeCell ref="B53:C53"/>
    <mergeCell ref="D53:F53"/>
    <mergeCell ref="B58:C58"/>
    <mergeCell ref="D58:F58"/>
    <mergeCell ref="D37:F37"/>
    <mergeCell ref="B37:C37"/>
    <mergeCell ref="G88:I88"/>
    <mergeCell ref="B45:C45"/>
    <mergeCell ref="B48:C48"/>
    <mergeCell ref="D48:F48"/>
    <mergeCell ref="B51:C51"/>
    <mergeCell ref="D51:F51"/>
    <mergeCell ref="B46:C46"/>
    <mergeCell ref="D46:F46"/>
    <mergeCell ref="B49:C49"/>
    <mergeCell ref="D49:F49"/>
    <mergeCell ref="B63:C63"/>
    <mergeCell ref="D63:F63"/>
    <mergeCell ref="B64:C64"/>
    <mergeCell ref="D64:F64"/>
    <mergeCell ref="B65:C65"/>
    <mergeCell ref="D65:F65"/>
    <mergeCell ref="D88:F88"/>
    <mergeCell ref="B39:C39"/>
    <mergeCell ref="G74:I74"/>
    <mergeCell ref="B74:C74"/>
    <mergeCell ref="B76:C76"/>
    <mergeCell ref="D76:F76"/>
    <mergeCell ref="B110:C110"/>
    <mergeCell ref="D110:E110"/>
    <mergeCell ref="B111:C111"/>
    <mergeCell ref="D111:E111"/>
    <mergeCell ref="B112:C112"/>
    <mergeCell ref="D112:E112"/>
    <mergeCell ref="B96:C96"/>
    <mergeCell ref="D96:F96"/>
    <mergeCell ref="D107:E107"/>
    <mergeCell ref="D109:E109"/>
    <mergeCell ref="B109:C109"/>
    <mergeCell ref="B107:C107"/>
    <mergeCell ref="B108:C108"/>
    <mergeCell ref="D108:E108"/>
    <mergeCell ref="B98:C98"/>
    <mergeCell ref="D98:F98"/>
    <mergeCell ref="B100:C100"/>
    <mergeCell ref="D100:F100"/>
    <mergeCell ref="E101:E102"/>
    <mergeCell ref="F101:F102"/>
    <mergeCell ref="AE107:AF107"/>
    <mergeCell ref="AH107:AI107"/>
    <mergeCell ref="AK107:AL107"/>
    <mergeCell ref="AN107:AO107"/>
    <mergeCell ref="P109:Q109"/>
    <mergeCell ref="S109:T109"/>
    <mergeCell ref="V109:W109"/>
    <mergeCell ref="Y109:Z109"/>
    <mergeCell ref="AB109:AC109"/>
    <mergeCell ref="AE109:AF109"/>
    <mergeCell ref="AH109:AI109"/>
    <mergeCell ref="AK109:AL109"/>
    <mergeCell ref="AN109:AO109"/>
    <mergeCell ref="AB107:AC107"/>
    <mergeCell ref="Y107:Z107"/>
    <mergeCell ref="AB110:AC110"/>
    <mergeCell ref="AB111:AC111"/>
    <mergeCell ref="Y110:Z110"/>
    <mergeCell ref="Y111:Z111"/>
    <mergeCell ref="V110:W110"/>
    <mergeCell ref="V111:W111"/>
    <mergeCell ref="AN110:AO110"/>
    <mergeCell ref="AK110:AL110"/>
    <mergeCell ref="AH110:AI110"/>
    <mergeCell ref="AE110:AF110"/>
    <mergeCell ref="AE111:AF111"/>
    <mergeCell ref="AH111:AI111"/>
    <mergeCell ref="AK111:AL111"/>
    <mergeCell ref="AN111:AO111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70"/>
  <sheetViews>
    <sheetView zoomScaleNormal="100" workbookViewId="0">
      <selection sqref="A1:G1"/>
    </sheetView>
  </sheetViews>
  <sheetFormatPr defaultRowHeight="15" x14ac:dyDescent="0.25"/>
  <cols>
    <col min="1" max="1" width="9.5703125" bestFit="1" customWidth="1"/>
    <col min="2" max="2" width="75.28515625" customWidth="1"/>
    <col min="3" max="3" width="15.7109375" hidden="1" customWidth="1"/>
    <col min="4" max="4" width="15.7109375" customWidth="1"/>
    <col min="5" max="5" width="9.28515625" style="11" bestFit="1" customWidth="1"/>
    <col min="6" max="6" width="107.28515625" customWidth="1"/>
    <col min="7" max="7" width="21.7109375" hidden="1" customWidth="1"/>
  </cols>
  <sheetData>
    <row r="1" spans="1:9" x14ac:dyDescent="0.25">
      <c r="A1" s="243" t="s">
        <v>238</v>
      </c>
      <c r="B1" s="244"/>
      <c r="C1" s="244"/>
      <c r="D1" s="244"/>
      <c r="E1" s="244"/>
      <c r="F1" s="244"/>
      <c r="G1" s="244"/>
      <c r="H1" s="1"/>
      <c r="I1" s="1"/>
    </row>
    <row r="2" spans="1:9" x14ac:dyDescent="0.25">
      <c r="A2" s="43" t="s">
        <v>0</v>
      </c>
      <c r="B2" s="43" t="s">
        <v>1</v>
      </c>
      <c r="C2" s="43" t="s">
        <v>2</v>
      </c>
      <c r="D2" s="43" t="s">
        <v>279</v>
      </c>
      <c r="E2" s="43" t="s">
        <v>3</v>
      </c>
      <c r="F2" s="44" t="s">
        <v>4</v>
      </c>
      <c r="G2" s="43" t="s">
        <v>28</v>
      </c>
    </row>
    <row r="3" spans="1:9" x14ac:dyDescent="0.25">
      <c r="A3" s="43">
        <v>1</v>
      </c>
      <c r="B3" s="62" t="s">
        <v>11</v>
      </c>
      <c r="C3" s="63"/>
      <c r="D3" s="63"/>
      <c r="E3" s="64"/>
      <c r="F3" s="65"/>
      <c r="G3" s="66"/>
      <c r="H3" s="7"/>
      <c r="I3" s="7"/>
    </row>
    <row r="4" spans="1:9" ht="17.25" x14ac:dyDescent="0.25">
      <c r="A4" s="67">
        <v>1.1000000000000001</v>
      </c>
      <c r="B4" s="67" t="s">
        <v>65</v>
      </c>
      <c r="C4" s="63">
        <f>'Rate Calculations'!G21</f>
        <v>442.51428571428568</v>
      </c>
      <c r="D4" s="63">
        <v>442.51</v>
      </c>
      <c r="E4" s="64" t="s">
        <v>14</v>
      </c>
      <c r="F4" s="65" t="s">
        <v>67</v>
      </c>
      <c r="G4" s="66" t="s">
        <v>36</v>
      </c>
      <c r="H4" s="7"/>
      <c r="I4" s="7"/>
    </row>
    <row r="5" spans="1:9" ht="17.25" x14ac:dyDescent="0.25">
      <c r="A5" s="67">
        <v>1.2</v>
      </c>
      <c r="B5" s="67" t="s">
        <v>66</v>
      </c>
      <c r="C5" s="63">
        <f>'Rate Calculations'!G40</f>
        <v>182.57142857142856</v>
      </c>
      <c r="D5" s="63">
        <v>182.57</v>
      </c>
      <c r="E5" s="64" t="s">
        <v>14</v>
      </c>
      <c r="F5" s="65" t="s">
        <v>64</v>
      </c>
      <c r="G5" s="66" t="s">
        <v>36</v>
      </c>
      <c r="H5" s="7"/>
      <c r="I5" s="7"/>
    </row>
    <row r="6" spans="1:9" x14ac:dyDescent="0.25">
      <c r="A6" s="67">
        <v>1.3</v>
      </c>
      <c r="B6" s="67" t="s">
        <v>53</v>
      </c>
      <c r="C6" s="63">
        <f>'Rate Calculations'!G62</f>
        <v>441.18838622552329</v>
      </c>
      <c r="D6" s="63">
        <v>441.19</v>
      </c>
      <c r="E6" s="64" t="s">
        <v>16</v>
      </c>
      <c r="F6" s="67" t="s">
        <v>98</v>
      </c>
      <c r="G6" s="67" t="s">
        <v>36</v>
      </c>
    </row>
    <row r="7" spans="1:9" x14ac:dyDescent="0.25">
      <c r="A7" s="43">
        <v>2</v>
      </c>
      <c r="B7" s="62" t="s">
        <v>12</v>
      </c>
      <c r="C7" s="63"/>
      <c r="D7" s="63"/>
      <c r="E7" s="64"/>
      <c r="F7" s="65"/>
      <c r="G7" s="66"/>
    </row>
    <row r="8" spans="1:9" ht="17.25" x14ac:dyDescent="0.25">
      <c r="A8" s="67">
        <v>2.1</v>
      </c>
      <c r="B8" s="66" t="s">
        <v>34</v>
      </c>
      <c r="C8" s="63">
        <f>'Rate Calculations'!G85</f>
        <v>218.269918699187</v>
      </c>
      <c r="D8" s="63">
        <v>218.27</v>
      </c>
      <c r="E8" s="64" t="s">
        <v>14</v>
      </c>
      <c r="F8" s="65" t="s">
        <v>99</v>
      </c>
      <c r="G8" s="66" t="s">
        <v>36</v>
      </c>
    </row>
    <row r="9" spans="1:9" x14ac:dyDescent="0.25">
      <c r="A9" s="43">
        <v>4</v>
      </c>
      <c r="B9" s="62" t="s">
        <v>20</v>
      </c>
      <c r="C9" s="63"/>
      <c r="D9" s="63"/>
      <c r="E9" s="64"/>
      <c r="F9" s="65"/>
      <c r="G9" s="66"/>
    </row>
    <row r="10" spans="1:9" ht="17.25" x14ac:dyDescent="0.25">
      <c r="A10" s="67">
        <v>4.0999999999999996</v>
      </c>
      <c r="B10" s="66" t="s">
        <v>35</v>
      </c>
      <c r="C10" s="63">
        <f>'Rate Calculations'!G104</f>
        <v>140.17499999999998</v>
      </c>
      <c r="D10" s="63">
        <v>140.18</v>
      </c>
      <c r="E10" s="64" t="s">
        <v>14</v>
      </c>
      <c r="F10" s="65" t="s">
        <v>100</v>
      </c>
      <c r="G10" s="66" t="s">
        <v>36</v>
      </c>
    </row>
    <row r="11" spans="1:9" x14ac:dyDescent="0.25">
      <c r="A11" s="43">
        <v>6</v>
      </c>
      <c r="B11" s="62" t="s">
        <v>21</v>
      </c>
      <c r="C11" s="63"/>
      <c r="D11" s="63"/>
      <c r="E11" s="64"/>
      <c r="F11" s="65"/>
      <c r="G11" s="66"/>
    </row>
    <row r="12" spans="1:9" ht="17.25" x14ac:dyDescent="0.25">
      <c r="A12" s="67">
        <v>6.3</v>
      </c>
      <c r="B12" s="67" t="s">
        <v>280</v>
      </c>
      <c r="C12" s="63">
        <f>((7300/8)+500)*1.034*1.037*1.041*1.032</f>
        <v>1627.1147365505999</v>
      </c>
      <c r="D12" s="63">
        <v>1627.11</v>
      </c>
      <c r="E12" s="64" t="s">
        <v>15</v>
      </c>
      <c r="F12" s="65" t="s">
        <v>101</v>
      </c>
      <c r="G12" s="66" t="s">
        <v>95</v>
      </c>
    </row>
    <row r="13" spans="1:9" x14ac:dyDescent="0.25">
      <c r="A13" s="43">
        <v>7</v>
      </c>
      <c r="B13" s="62" t="s">
        <v>55</v>
      </c>
      <c r="C13" s="63"/>
      <c r="D13" s="63"/>
      <c r="E13" s="64"/>
      <c r="F13" s="65"/>
      <c r="G13" s="66"/>
    </row>
    <row r="14" spans="1:9" x14ac:dyDescent="0.25">
      <c r="A14" s="67">
        <v>7.1</v>
      </c>
      <c r="B14" s="66" t="s">
        <v>57</v>
      </c>
      <c r="C14" s="63">
        <f>50*1.034*1.037*1.041*1.032</f>
        <v>57.59698182479999</v>
      </c>
      <c r="D14" s="63">
        <v>57.6</v>
      </c>
      <c r="E14" s="64" t="s">
        <v>16</v>
      </c>
      <c r="F14" s="66" t="s">
        <v>85</v>
      </c>
      <c r="G14" s="66" t="s">
        <v>36</v>
      </c>
    </row>
    <row r="15" spans="1:9" x14ac:dyDescent="0.25">
      <c r="A15" s="67">
        <v>7.2</v>
      </c>
      <c r="B15" s="66" t="s">
        <v>56</v>
      </c>
      <c r="C15" s="63">
        <f>(3.7*5+10)*1.034*1.037*1.041*1.032</f>
        <v>32.830279640135998</v>
      </c>
      <c r="D15" s="63">
        <v>32.83</v>
      </c>
      <c r="E15" s="64" t="s">
        <v>16</v>
      </c>
      <c r="F15" s="66" t="s">
        <v>86</v>
      </c>
      <c r="G15" s="66" t="s">
        <v>36</v>
      </c>
    </row>
    <row r="16" spans="1:9" x14ac:dyDescent="0.25">
      <c r="A16" s="67">
        <v>7.4</v>
      </c>
      <c r="B16" s="66" t="s">
        <v>58</v>
      </c>
      <c r="C16" s="63">
        <f>(3.7*5+10)*1.034*1.037*1.041*1.032</f>
        <v>32.830279640135998</v>
      </c>
      <c r="D16" s="63">
        <v>32.83</v>
      </c>
      <c r="E16" s="64" t="s">
        <v>16</v>
      </c>
      <c r="F16" s="66" t="s">
        <v>87</v>
      </c>
      <c r="G16" s="66" t="s">
        <v>36</v>
      </c>
    </row>
    <row r="17" spans="1:7" x14ac:dyDescent="0.25">
      <c r="A17" s="43">
        <v>8</v>
      </c>
      <c r="B17" s="62" t="s">
        <v>17</v>
      </c>
      <c r="C17" s="63"/>
      <c r="D17" s="63"/>
      <c r="E17" s="64"/>
      <c r="F17" s="65"/>
      <c r="G17" s="66"/>
    </row>
    <row r="18" spans="1:7" ht="17.25" x14ac:dyDescent="0.25">
      <c r="A18" s="67">
        <v>8.1</v>
      </c>
      <c r="B18" s="66" t="s">
        <v>70</v>
      </c>
      <c r="C18" s="63">
        <f>'Rate Calculations'!B124</f>
        <v>1.979006983009842</v>
      </c>
      <c r="D18" s="63">
        <v>1.98</v>
      </c>
      <c r="E18" s="64" t="s">
        <v>14</v>
      </c>
      <c r="F18" s="65" t="s">
        <v>71</v>
      </c>
      <c r="G18" s="66" t="s">
        <v>36</v>
      </c>
    </row>
    <row r="19" spans="1:7" ht="17.25" x14ac:dyDescent="0.25">
      <c r="A19" s="67">
        <v>8.1999999999999993</v>
      </c>
      <c r="B19" s="66" t="s">
        <v>72</v>
      </c>
      <c r="C19" s="63">
        <f>C18*2</f>
        <v>3.958013966019684</v>
      </c>
      <c r="D19" s="63">
        <v>3.96</v>
      </c>
      <c r="E19" s="64" t="s">
        <v>14</v>
      </c>
      <c r="F19" s="65" t="s">
        <v>73</v>
      </c>
      <c r="G19" s="66" t="s">
        <v>36</v>
      </c>
    </row>
    <row r="20" spans="1:7" ht="17.25" x14ac:dyDescent="0.25">
      <c r="A20" s="67">
        <v>8.3000000000000007</v>
      </c>
      <c r="B20" s="66" t="s">
        <v>54</v>
      </c>
      <c r="C20" s="63">
        <f>'Rate Calculations'!G160</f>
        <v>9.4240460746249379</v>
      </c>
      <c r="D20" s="63">
        <v>9.42</v>
      </c>
      <c r="E20" s="64" t="s">
        <v>14</v>
      </c>
      <c r="F20" s="65" t="s">
        <v>291</v>
      </c>
      <c r="G20" s="66" t="s">
        <v>36</v>
      </c>
    </row>
    <row r="21" spans="1:7" x14ac:dyDescent="0.25">
      <c r="A21" s="43">
        <v>9</v>
      </c>
      <c r="B21" s="62" t="s">
        <v>18</v>
      </c>
      <c r="C21" s="63"/>
      <c r="D21" s="63"/>
      <c r="E21" s="64"/>
      <c r="F21" s="65"/>
      <c r="G21" s="66"/>
    </row>
    <row r="22" spans="1:7" x14ac:dyDescent="0.25">
      <c r="A22" s="67">
        <v>9.1</v>
      </c>
      <c r="B22" s="66" t="s">
        <v>278</v>
      </c>
      <c r="C22" s="63">
        <f>35*1.034*1.037*1.041*1.032</f>
        <v>40.317887277359993</v>
      </c>
      <c r="D22" s="63">
        <v>40.32</v>
      </c>
      <c r="E22" s="64" t="s">
        <v>16</v>
      </c>
      <c r="F22" s="65" t="s">
        <v>97</v>
      </c>
      <c r="G22" s="66" t="s">
        <v>36</v>
      </c>
    </row>
    <row r="23" spans="1:7" x14ac:dyDescent="0.25">
      <c r="A23" s="43">
        <v>10</v>
      </c>
      <c r="B23" s="62" t="s">
        <v>24</v>
      </c>
      <c r="C23" s="63"/>
      <c r="D23" s="63"/>
      <c r="E23" s="64"/>
      <c r="F23" s="65"/>
      <c r="G23" s="66"/>
    </row>
    <row r="24" spans="1:7" x14ac:dyDescent="0.25">
      <c r="A24" s="67">
        <v>10.199999999999999</v>
      </c>
      <c r="B24" s="66" t="s">
        <v>293</v>
      </c>
      <c r="C24" s="63">
        <f>135.1*1.034*1.037*1.041*1.032</f>
        <v>155.62704489060957</v>
      </c>
      <c r="D24" s="63">
        <v>155.63</v>
      </c>
      <c r="E24" s="64" t="s">
        <v>16</v>
      </c>
      <c r="F24" s="65" t="s">
        <v>292</v>
      </c>
      <c r="G24" s="66" t="s">
        <v>36</v>
      </c>
    </row>
    <row r="25" spans="1:7" x14ac:dyDescent="0.25">
      <c r="A25" s="43">
        <v>11</v>
      </c>
      <c r="B25" s="62" t="s">
        <v>22</v>
      </c>
      <c r="C25" s="63"/>
      <c r="D25" s="63"/>
      <c r="E25" s="64"/>
      <c r="F25" s="65"/>
      <c r="G25" s="66"/>
    </row>
    <row r="26" spans="1:7" x14ac:dyDescent="0.25">
      <c r="A26" s="67">
        <v>11.1</v>
      </c>
      <c r="B26" s="66" t="s">
        <v>23</v>
      </c>
      <c r="C26" s="63">
        <f>3000*1.034*1.037*1.041*1.032</f>
        <v>3455.8189094879999</v>
      </c>
      <c r="D26" s="63">
        <v>3455.82</v>
      </c>
      <c r="E26" s="64" t="s">
        <v>29</v>
      </c>
      <c r="F26" s="65" t="s">
        <v>124</v>
      </c>
      <c r="G26" s="66" t="s">
        <v>36</v>
      </c>
    </row>
    <row r="27" spans="1:7" x14ac:dyDescent="0.25">
      <c r="A27" s="43">
        <v>14</v>
      </c>
      <c r="B27" s="62" t="s">
        <v>25</v>
      </c>
      <c r="C27" s="63"/>
      <c r="D27" s="63"/>
      <c r="E27" s="64"/>
      <c r="F27" s="65"/>
      <c r="G27" s="66"/>
    </row>
    <row r="28" spans="1:7" ht="17.25" x14ac:dyDescent="0.25">
      <c r="A28" s="67">
        <v>14.1</v>
      </c>
      <c r="B28" s="66" t="s">
        <v>274</v>
      </c>
      <c r="C28" s="63">
        <f>'Rate Calculations'!G186</f>
        <v>19.904154329843411</v>
      </c>
      <c r="D28" s="63">
        <v>19.899999999999999</v>
      </c>
      <c r="E28" s="64" t="s">
        <v>14</v>
      </c>
      <c r="F28" s="65" t="s">
        <v>84</v>
      </c>
      <c r="G28" s="66" t="s">
        <v>36</v>
      </c>
    </row>
    <row r="29" spans="1:7" ht="17.25" x14ac:dyDescent="0.25">
      <c r="A29" s="67">
        <v>14.2</v>
      </c>
      <c r="B29" s="66" t="s">
        <v>91</v>
      </c>
      <c r="C29" s="63">
        <f>'Rate Calculations'!E204</f>
        <v>26.837499999999999</v>
      </c>
      <c r="D29" s="63">
        <v>26.84</v>
      </c>
      <c r="E29" s="64" t="s">
        <v>15</v>
      </c>
      <c r="F29" s="65" t="s">
        <v>90</v>
      </c>
      <c r="G29" s="66" t="s">
        <v>36</v>
      </c>
    </row>
    <row r="30" spans="1:7" ht="17.25" x14ac:dyDescent="0.25">
      <c r="A30" s="67">
        <v>14.3</v>
      </c>
      <c r="B30" s="66" t="s">
        <v>92</v>
      </c>
      <c r="C30" s="63">
        <f>'Rate Calculations'!E222</f>
        <v>22.562499999999996</v>
      </c>
      <c r="D30" s="63">
        <v>22.56</v>
      </c>
      <c r="E30" s="64" t="s">
        <v>15</v>
      </c>
      <c r="F30" s="65" t="s">
        <v>93</v>
      </c>
      <c r="G30" s="66"/>
    </row>
    <row r="31" spans="1:7" x14ac:dyDescent="0.25">
      <c r="A31" s="67">
        <v>14.4</v>
      </c>
      <c r="B31" s="66" t="s">
        <v>68</v>
      </c>
      <c r="C31" s="63">
        <f>308*1.034*1.037*1.041*1.032</f>
        <v>354.797408040768</v>
      </c>
      <c r="D31" s="63">
        <v>354.8</v>
      </c>
      <c r="E31" s="64" t="s">
        <v>16</v>
      </c>
      <c r="F31" s="65" t="s">
        <v>102</v>
      </c>
      <c r="G31" s="66" t="s">
        <v>36</v>
      </c>
    </row>
    <row r="32" spans="1:7" ht="14.25" customHeight="1" x14ac:dyDescent="0.25">
      <c r="A32" s="67">
        <v>14.5</v>
      </c>
      <c r="B32" s="66" t="s">
        <v>74</v>
      </c>
      <c r="C32" s="63">
        <f>3.5*1.034*1.037*1.041*1.032</f>
        <v>4.0317887277359992</v>
      </c>
      <c r="D32" s="63">
        <v>4.03</v>
      </c>
      <c r="E32" s="64" t="s">
        <v>14</v>
      </c>
      <c r="F32" s="65" t="s">
        <v>281</v>
      </c>
      <c r="G32" s="66" t="s">
        <v>36</v>
      </c>
    </row>
    <row r="33" spans="1:7" ht="14.25" customHeight="1" x14ac:dyDescent="0.25">
      <c r="A33" s="66">
        <v>14.6</v>
      </c>
      <c r="B33" s="66" t="s">
        <v>282</v>
      </c>
      <c r="C33" s="63">
        <f>27.54*1.041*1.032</f>
        <v>29.586552479999998</v>
      </c>
      <c r="D33" s="63">
        <v>29.59</v>
      </c>
      <c r="E33" s="64" t="s">
        <v>16</v>
      </c>
      <c r="F33" s="65" t="s">
        <v>283</v>
      </c>
      <c r="G33" s="66"/>
    </row>
    <row r="34" spans="1:7" x14ac:dyDescent="0.25">
      <c r="A34" s="43">
        <v>19</v>
      </c>
      <c r="B34" s="62" t="s">
        <v>40</v>
      </c>
      <c r="C34" s="63"/>
      <c r="D34" s="63"/>
      <c r="E34" s="64"/>
      <c r="F34" s="65"/>
      <c r="G34" s="66"/>
    </row>
    <row r="35" spans="1:7" x14ac:dyDescent="0.25">
      <c r="A35" s="66">
        <v>19.100000000000001</v>
      </c>
      <c r="B35" s="66" t="s">
        <v>30</v>
      </c>
      <c r="C35" s="245">
        <v>750000</v>
      </c>
      <c r="D35" s="245">
        <v>750000</v>
      </c>
      <c r="E35" s="64" t="s">
        <v>26</v>
      </c>
      <c r="F35" s="115" t="s">
        <v>290</v>
      </c>
      <c r="G35" s="66" t="s">
        <v>96</v>
      </c>
    </row>
    <row r="36" spans="1:7" x14ac:dyDescent="0.25">
      <c r="A36" s="66">
        <v>19.2</v>
      </c>
      <c r="B36" s="66" t="s">
        <v>31</v>
      </c>
      <c r="C36" s="246"/>
      <c r="D36" s="246"/>
      <c r="E36" s="64" t="s">
        <v>26</v>
      </c>
      <c r="F36" s="115" t="s">
        <v>290</v>
      </c>
      <c r="G36" s="66" t="s">
        <v>96</v>
      </c>
    </row>
    <row r="37" spans="1:7" x14ac:dyDescent="0.25">
      <c r="A37" s="66">
        <v>19.3</v>
      </c>
      <c r="B37" s="66" t="s">
        <v>239</v>
      </c>
      <c r="C37" s="63">
        <v>240000</v>
      </c>
      <c r="D37" s="63">
        <v>240000</v>
      </c>
      <c r="E37" s="64" t="s">
        <v>26</v>
      </c>
      <c r="F37" s="115" t="s">
        <v>290</v>
      </c>
      <c r="G37" s="66" t="s">
        <v>96</v>
      </c>
    </row>
    <row r="38" spans="1:7" x14ac:dyDescent="0.25">
      <c r="A38" s="66">
        <v>19.399999999999999</v>
      </c>
      <c r="B38" s="66" t="s">
        <v>32</v>
      </c>
      <c r="C38" s="63">
        <v>120000</v>
      </c>
      <c r="D38" s="63">
        <v>120000</v>
      </c>
      <c r="E38" s="64" t="s">
        <v>26</v>
      </c>
      <c r="F38" s="115" t="s">
        <v>290</v>
      </c>
      <c r="G38" s="66" t="s">
        <v>6</v>
      </c>
    </row>
    <row r="39" spans="1:7" x14ac:dyDescent="0.25">
      <c r="A39" s="66">
        <v>19.5</v>
      </c>
      <c r="B39" s="66" t="s">
        <v>33</v>
      </c>
      <c r="C39" s="63">
        <v>1400000</v>
      </c>
      <c r="D39" s="63">
        <v>1400000</v>
      </c>
      <c r="E39" s="64" t="s">
        <v>26</v>
      </c>
      <c r="F39" s="115" t="s">
        <v>290</v>
      </c>
      <c r="G39" s="66" t="s">
        <v>6</v>
      </c>
    </row>
    <row r="40" spans="1:7" x14ac:dyDescent="0.25">
      <c r="A40" s="66">
        <v>19.5</v>
      </c>
      <c r="B40" s="66" t="s">
        <v>33</v>
      </c>
      <c r="C40" s="63">
        <v>2500000</v>
      </c>
      <c r="D40" s="63">
        <v>2500000</v>
      </c>
      <c r="E40" s="64" t="s">
        <v>29</v>
      </c>
      <c r="F40" s="115" t="s">
        <v>242</v>
      </c>
      <c r="G40" s="66"/>
    </row>
    <row r="41" spans="1:7" x14ac:dyDescent="0.25">
      <c r="A41" s="66">
        <v>19.600000000000001</v>
      </c>
      <c r="B41" s="66" t="s">
        <v>37</v>
      </c>
      <c r="C41" s="63">
        <f>(25000*12)*1.034*1.037*1.041*1.032</f>
        <v>345581.8909487999</v>
      </c>
      <c r="D41" s="63">
        <v>345581.89</v>
      </c>
      <c r="E41" s="64" t="s">
        <v>26</v>
      </c>
      <c r="F41" s="65" t="s">
        <v>41</v>
      </c>
      <c r="G41" s="66" t="s">
        <v>36</v>
      </c>
    </row>
    <row r="42" spans="1:7" x14ac:dyDescent="0.25">
      <c r="A42" s="66">
        <v>19.899999999999999</v>
      </c>
      <c r="B42" s="66" t="s">
        <v>241</v>
      </c>
      <c r="C42" s="63">
        <f>(500000*1.06)*1.034*1.037*1.041*1.032</f>
        <v>610528.00734288001</v>
      </c>
      <c r="D42" s="63">
        <v>610528.01</v>
      </c>
      <c r="E42" s="64" t="s">
        <v>26</v>
      </c>
      <c r="F42" s="115" t="s">
        <v>240</v>
      </c>
      <c r="G42" s="66"/>
    </row>
    <row r="43" spans="1:7" x14ac:dyDescent="0.25">
      <c r="A43" s="66">
        <v>19.899999999999999</v>
      </c>
      <c r="B43" s="66" t="s">
        <v>284</v>
      </c>
      <c r="C43" s="63">
        <v>26000000</v>
      </c>
      <c r="D43" s="63">
        <v>26000000</v>
      </c>
      <c r="E43" s="64" t="s">
        <v>29</v>
      </c>
      <c r="F43" s="115" t="s">
        <v>242</v>
      </c>
      <c r="G43" s="66" t="s">
        <v>6</v>
      </c>
    </row>
    <row r="44" spans="1:7" x14ac:dyDescent="0.25">
      <c r="C44" s="8"/>
      <c r="D44" s="8"/>
    </row>
    <row r="45" spans="1:7" x14ac:dyDescent="0.25">
      <c r="C45" s="16"/>
      <c r="D45" s="16"/>
      <c r="E45" s="17"/>
    </row>
    <row r="46" spans="1:7" x14ac:dyDescent="0.25">
      <c r="C46" s="18"/>
      <c r="D46" s="18"/>
      <c r="E46" s="17"/>
    </row>
    <row r="47" spans="1:7" x14ac:dyDescent="0.25">
      <c r="C47" s="18"/>
      <c r="D47" s="18"/>
      <c r="E47" s="17"/>
    </row>
    <row r="48" spans="1:7" x14ac:dyDescent="0.25">
      <c r="C48" s="16"/>
      <c r="D48" s="16"/>
      <c r="E48" s="17"/>
    </row>
    <row r="49" spans="3:5" x14ac:dyDescent="0.25">
      <c r="C49" s="16"/>
      <c r="D49" s="16"/>
      <c r="E49" s="17"/>
    </row>
    <row r="50" spans="3:5" x14ac:dyDescent="0.25">
      <c r="C50" s="8"/>
      <c r="D50" s="8"/>
      <c r="E50" s="17"/>
    </row>
    <row r="51" spans="3:5" x14ac:dyDescent="0.25">
      <c r="C51" s="8"/>
      <c r="D51" s="8"/>
      <c r="E51" s="17"/>
    </row>
    <row r="52" spans="3:5" x14ac:dyDescent="0.25">
      <c r="C52" s="19"/>
      <c r="D52" s="19"/>
      <c r="E52" s="20"/>
    </row>
    <row r="53" spans="3:5" x14ac:dyDescent="0.25">
      <c r="C53" s="21"/>
      <c r="D53" s="21"/>
      <c r="E53" s="20"/>
    </row>
    <row r="54" spans="3:5" x14ac:dyDescent="0.25">
      <c r="C54" s="7"/>
      <c r="D54" s="7"/>
      <c r="E54" s="20"/>
    </row>
    <row r="55" spans="3:5" x14ac:dyDescent="0.25">
      <c r="C55" s="7"/>
      <c r="D55" s="7"/>
      <c r="E55" s="20"/>
    </row>
    <row r="56" spans="3:5" x14ac:dyDescent="0.25">
      <c r="C56" s="7"/>
      <c r="D56" s="7"/>
      <c r="E56" s="20"/>
    </row>
    <row r="57" spans="3:5" x14ac:dyDescent="0.25">
      <c r="C57" s="7"/>
      <c r="D57" s="7"/>
      <c r="E57" s="20"/>
    </row>
    <row r="58" spans="3:5" x14ac:dyDescent="0.25">
      <c r="C58" s="7"/>
      <c r="D58" s="7"/>
      <c r="E58" s="20"/>
    </row>
    <row r="59" spans="3:5" x14ac:dyDescent="0.25">
      <c r="C59" s="7"/>
      <c r="D59" s="7"/>
      <c r="E59" s="22"/>
    </row>
    <row r="60" spans="3:5" x14ac:dyDescent="0.25">
      <c r="C60" s="7"/>
      <c r="D60" s="7"/>
      <c r="E60" s="22"/>
    </row>
    <row r="61" spans="3:5" x14ac:dyDescent="0.25">
      <c r="C61" s="7"/>
      <c r="D61" s="7"/>
      <c r="E61" s="22"/>
    </row>
    <row r="62" spans="3:5" x14ac:dyDescent="0.25">
      <c r="C62" s="21"/>
      <c r="D62" s="21"/>
      <c r="E62" s="20"/>
    </row>
    <row r="63" spans="3:5" x14ac:dyDescent="0.25">
      <c r="E63" s="17"/>
    </row>
    <row r="64" spans="3:5" x14ac:dyDescent="0.25">
      <c r="E64" s="17"/>
    </row>
    <row r="65" spans="5:5" x14ac:dyDescent="0.25">
      <c r="E65" s="17"/>
    </row>
    <row r="66" spans="5:5" x14ac:dyDescent="0.25">
      <c r="E66" s="17"/>
    </row>
    <row r="67" spans="5:5" x14ac:dyDescent="0.25">
      <c r="E67" s="17"/>
    </row>
    <row r="68" spans="5:5" x14ac:dyDescent="0.25">
      <c r="E68" s="17"/>
    </row>
    <row r="69" spans="5:5" x14ac:dyDescent="0.25">
      <c r="E69" s="17"/>
    </row>
    <row r="70" spans="5:5" x14ac:dyDescent="0.25">
      <c r="E70" s="17"/>
    </row>
  </sheetData>
  <sheetProtection formatCells="0" formatColumns="0" formatRows="0" insertColumns="0" insertRows="0" insertHyperlinks="0" deleteColumns="0" deleteRows="0" sort="0" autoFilter="0" pivotTables="0"/>
  <mergeCells count="3">
    <mergeCell ref="A1:G1"/>
    <mergeCell ref="C35:C36"/>
    <mergeCell ref="D35:D36"/>
  </mergeCells>
  <pageMargins left="0.7" right="0.7" top="0.75" bottom="0.75" header="0.3" footer="0.3"/>
  <pageSetup paperSize="9" orientation="landscape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274FC-3E57-46B4-9988-678210A71C70}">
  <dimension ref="A1:H226"/>
  <sheetViews>
    <sheetView topLeftCell="A166" workbookViewId="0">
      <selection activeCell="A173" sqref="A173:H186"/>
    </sheetView>
  </sheetViews>
  <sheetFormatPr defaultRowHeight="15" x14ac:dyDescent="0.25"/>
  <cols>
    <col min="1" max="1" width="23.7109375" customWidth="1"/>
    <col min="2" max="2" width="7.140625" bestFit="1" customWidth="1"/>
    <col min="4" max="4" width="11.85546875" bestFit="1" customWidth="1"/>
    <col min="7" max="7" width="11.42578125" bestFit="1" customWidth="1"/>
  </cols>
  <sheetData>
    <row r="1" spans="1:7" x14ac:dyDescent="0.25">
      <c r="A1" s="97" t="s">
        <v>160</v>
      </c>
    </row>
    <row r="2" spans="1:7" x14ac:dyDescent="0.25">
      <c r="A2" s="98" t="s">
        <v>161</v>
      </c>
    </row>
    <row r="3" spans="1:7" x14ac:dyDescent="0.25">
      <c r="A3" t="s">
        <v>162</v>
      </c>
    </row>
    <row r="4" spans="1:7" x14ac:dyDescent="0.25">
      <c r="A4" t="s">
        <v>163</v>
      </c>
    </row>
    <row r="6" spans="1:7" x14ac:dyDescent="0.25">
      <c r="A6" t="s">
        <v>164</v>
      </c>
      <c r="D6" s="99">
        <v>15000</v>
      </c>
      <c r="E6" s="100" t="s">
        <v>165</v>
      </c>
    </row>
    <row r="7" spans="1:7" x14ac:dyDescent="0.25">
      <c r="A7" t="s">
        <v>166</v>
      </c>
      <c r="D7" s="99">
        <v>5800</v>
      </c>
      <c r="E7" s="100" t="s">
        <v>165</v>
      </c>
    </row>
    <row r="8" spans="1:7" x14ac:dyDescent="0.25">
      <c r="A8" t="s">
        <v>167</v>
      </c>
      <c r="D8" s="99">
        <v>10000</v>
      </c>
      <c r="E8" s="100" t="s">
        <v>165</v>
      </c>
    </row>
    <row r="9" spans="1:7" x14ac:dyDescent="0.25">
      <c r="A9" t="s">
        <v>168</v>
      </c>
      <c r="D9" s="99">
        <v>2000</v>
      </c>
      <c r="E9" s="100" t="s">
        <v>165</v>
      </c>
    </row>
    <row r="10" spans="1:7" x14ac:dyDescent="0.25">
      <c r="A10" t="s">
        <v>169</v>
      </c>
      <c r="D10" s="99">
        <v>3500</v>
      </c>
      <c r="E10" s="100" t="s">
        <v>165</v>
      </c>
    </row>
    <row r="12" spans="1:7" x14ac:dyDescent="0.25">
      <c r="A12" t="s">
        <v>170</v>
      </c>
      <c r="B12" t="s">
        <v>171</v>
      </c>
      <c r="F12" t="s">
        <v>172</v>
      </c>
    </row>
    <row r="13" spans="1:7" x14ac:dyDescent="0.25">
      <c r="A13" t="s">
        <v>164</v>
      </c>
      <c r="B13">
        <v>1</v>
      </c>
      <c r="D13" s="79" t="s">
        <v>173</v>
      </c>
      <c r="E13" s="99">
        <f>D6</f>
        <v>15000</v>
      </c>
      <c r="F13">
        <v>32</v>
      </c>
      <c r="G13" s="101">
        <f>E13*F13</f>
        <v>480000</v>
      </c>
    </row>
    <row r="14" spans="1:7" x14ac:dyDescent="0.25">
      <c r="A14" t="s">
        <v>166</v>
      </c>
      <c r="B14">
        <v>1</v>
      </c>
      <c r="D14" s="79" t="s">
        <v>173</v>
      </c>
      <c r="E14" s="99">
        <f t="shared" ref="E14:E17" si="0">D7</f>
        <v>5800</v>
      </c>
      <c r="F14">
        <v>32</v>
      </c>
      <c r="G14" s="101">
        <f t="shared" ref="G14:G17" si="1">E14*F14</f>
        <v>185600</v>
      </c>
    </row>
    <row r="15" spans="1:7" x14ac:dyDescent="0.25">
      <c r="A15" t="s">
        <v>167</v>
      </c>
      <c r="B15">
        <v>1</v>
      </c>
      <c r="D15" s="79" t="s">
        <v>173</v>
      </c>
      <c r="E15" s="99">
        <f t="shared" si="0"/>
        <v>10000</v>
      </c>
      <c r="F15">
        <v>32</v>
      </c>
      <c r="G15" s="101">
        <f t="shared" si="1"/>
        <v>320000</v>
      </c>
    </row>
    <row r="16" spans="1:7" x14ac:dyDescent="0.25">
      <c r="A16" t="s">
        <v>168</v>
      </c>
      <c r="B16">
        <v>1</v>
      </c>
      <c r="D16" s="79" t="s">
        <v>173</v>
      </c>
      <c r="E16" s="99">
        <f t="shared" si="0"/>
        <v>2000</v>
      </c>
      <c r="F16">
        <v>32</v>
      </c>
      <c r="G16" s="101">
        <f t="shared" si="1"/>
        <v>64000</v>
      </c>
    </row>
    <row r="17" spans="1:8" x14ac:dyDescent="0.25">
      <c r="A17" t="s">
        <v>169</v>
      </c>
      <c r="B17">
        <v>1</v>
      </c>
      <c r="D17" s="79" t="s">
        <v>173</v>
      </c>
      <c r="E17" s="99">
        <f t="shared" si="0"/>
        <v>3500</v>
      </c>
      <c r="F17">
        <v>32</v>
      </c>
      <c r="G17" s="101">
        <f t="shared" si="1"/>
        <v>112000</v>
      </c>
    </row>
    <row r="18" spans="1:8" x14ac:dyDescent="0.25">
      <c r="G18" s="102">
        <f>SUM(G13:G17)</f>
        <v>1161600</v>
      </c>
    </row>
    <row r="20" spans="1:8" x14ac:dyDescent="0.25">
      <c r="G20" s="103">
        <f>G18/3150</f>
        <v>368.76190476190476</v>
      </c>
      <c r="H20" t="s">
        <v>174</v>
      </c>
    </row>
    <row r="21" spans="1:8" x14ac:dyDescent="0.25">
      <c r="F21" t="s">
        <v>175</v>
      </c>
      <c r="G21" s="103">
        <f>G20*1.2</f>
        <v>442.51428571428568</v>
      </c>
      <c r="H21" t="s">
        <v>174</v>
      </c>
    </row>
    <row r="23" spans="1:8" x14ac:dyDescent="0.25">
      <c r="A23" s="98" t="s">
        <v>176</v>
      </c>
    </row>
    <row r="24" spans="1:8" x14ac:dyDescent="0.25">
      <c r="A24" t="s">
        <v>177</v>
      </c>
    </row>
    <row r="25" spans="1:8" x14ac:dyDescent="0.25">
      <c r="A25" t="s">
        <v>178</v>
      </c>
    </row>
    <row r="27" spans="1:8" x14ac:dyDescent="0.25">
      <c r="A27" t="s">
        <v>166</v>
      </c>
      <c r="D27" s="99">
        <v>5800</v>
      </c>
      <c r="E27" s="100" t="s">
        <v>165</v>
      </c>
    </row>
    <row r="28" spans="1:8" x14ac:dyDescent="0.25">
      <c r="A28" t="s">
        <v>167</v>
      </c>
      <c r="D28" s="99">
        <v>10000</v>
      </c>
      <c r="E28" s="100" t="s">
        <v>165</v>
      </c>
    </row>
    <row r="29" spans="1:8" x14ac:dyDescent="0.25">
      <c r="A29" t="s">
        <v>168</v>
      </c>
      <c r="D29" s="99">
        <v>2000</v>
      </c>
      <c r="E29" s="100" t="s">
        <v>165</v>
      </c>
    </row>
    <row r="30" spans="1:8" x14ac:dyDescent="0.25">
      <c r="A30" t="s">
        <v>169</v>
      </c>
      <c r="D30" s="99">
        <v>3500</v>
      </c>
      <c r="E30" s="100" t="s">
        <v>165</v>
      </c>
    </row>
    <row r="32" spans="1:8" x14ac:dyDescent="0.25">
      <c r="A32" t="s">
        <v>170</v>
      </c>
      <c r="B32" t="s">
        <v>171</v>
      </c>
      <c r="F32" t="s">
        <v>172</v>
      </c>
    </row>
    <row r="33" spans="1:8" x14ac:dyDescent="0.25">
      <c r="A33" t="s">
        <v>166</v>
      </c>
      <c r="B33">
        <v>1</v>
      </c>
      <c r="D33" s="79" t="s">
        <v>173</v>
      </c>
      <c r="E33" s="99">
        <f t="shared" ref="E33:E36" si="2">D27</f>
        <v>5800</v>
      </c>
      <c r="F33">
        <v>3</v>
      </c>
      <c r="G33" s="101">
        <f t="shared" ref="G33:G36" si="3">E33*F33</f>
        <v>17400</v>
      </c>
    </row>
    <row r="34" spans="1:8" x14ac:dyDescent="0.25">
      <c r="A34" t="s">
        <v>167</v>
      </c>
      <c r="B34">
        <v>1</v>
      </c>
      <c r="D34" s="79" t="s">
        <v>173</v>
      </c>
      <c r="E34" s="99">
        <f t="shared" si="2"/>
        <v>10000</v>
      </c>
      <c r="F34">
        <v>3</v>
      </c>
      <c r="G34" s="101">
        <f t="shared" si="3"/>
        <v>30000</v>
      </c>
    </row>
    <row r="35" spans="1:8" x14ac:dyDescent="0.25">
      <c r="A35" t="s">
        <v>168</v>
      </c>
      <c r="B35">
        <v>1</v>
      </c>
      <c r="D35" s="79" t="s">
        <v>173</v>
      </c>
      <c r="E35" s="99">
        <f t="shared" si="2"/>
        <v>2000</v>
      </c>
      <c r="F35">
        <v>3</v>
      </c>
      <c r="G35" s="101">
        <f t="shared" si="3"/>
        <v>6000</v>
      </c>
    </row>
    <row r="36" spans="1:8" x14ac:dyDescent="0.25">
      <c r="A36" t="s">
        <v>169</v>
      </c>
      <c r="B36">
        <v>1</v>
      </c>
      <c r="D36" s="79" t="s">
        <v>173</v>
      </c>
      <c r="E36" s="99">
        <f t="shared" si="2"/>
        <v>3500</v>
      </c>
      <c r="F36">
        <v>3</v>
      </c>
      <c r="G36" s="101">
        <f t="shared" si="3"/>
        <v>10500</v>
      </c>
    </row>
    <row r="37" spans="1:8" x14ac:dyDescent="0.25">
      <c r="G37" s="102">
        <f>SUM(G33:G36)</f>
        <v>63900</v>
      </c>
    </row>
    <row r="39" spans="1:8" x14ac:dyDescent="0.25">
      <c r="G39" s="103">
        <f>G37/420</f>
        <v>152.14285714285714</v>
      </c>
      <c r="H39" t="s">
        <v>174</v>
      </c>
    </row>
    <row r="40" spans="1:8" x14ac:dyDescent="0.25">
      <c r="F40" t="s">
        <v>175</v>
      </c>
      <c r="G40" s="103">
        <f>G39*1.2</f>
        <v>182.57142857142856</v>
      </c>
      <c r="H40" t="s">
        <v>174</v>
      </c>
    </row>
    <row r="42" spans="1:8" x14ac:dyDescent="0.25">
      <c r="A42" s="98" t="s">
        <v>179</v>
      </c>
    </row>
    <row r="43" spans="1:8" x14ac:dyDescent="0.25">
      <c r="A43" t="s">
        <v>180</v>
      </c>
    </row>
    <row r="44" spans="1:8" x14ac:dyDescent="0.25">
      <c r="A44" t="s">
        <v>181</v>
      </c>
    </row>
    <row r="45" spans="1:8" x14ac:dyDescent="0.25">
      <c r="A45" t="s">
        <v>182</v>
      </c>
    </row>
    <row r="47" spans="1:8" x14ac:dyDescent="0.25">
      <c r="A47" t="s">
        <v>164</v>
      </c>
      <c r="D47" s="99">
        <v>15000</v>
      </c>
      <c r="E47" s="100" t="s">
        <v>165</v>
      </c>
    </row>
    <row r="48" spans="1:8" x14ac:dyDescent="0.25">
      <c r="A48" t="s">
        <v>166</v>
      </c>
      <c r="D48" s="99">
        <v>5800</v>
      </c>
      <c r="E48" s="100" t="s">
        <v>165</v>
      </c>
    </row>
    <row r="49" spans="1:8" x14ac:dyDescent="0.25">
      <c r="A49" t="s">
        <v>167</v>
      </c>
      <c r="D49" s="99">
        <v>10000</v>
      </c>
      <c r="E49" s="100" t="s">
        <v>165</v>
      </c>
    </row>
    <row r="50" spans="1:8" x14ac:dyDescent="0.25">
      <c r="A50" t="s">
        <v>168</v>
      </c>
      <c r="D50" s="99">
        <v>2000</v>
      </c>
      <c r="E50" s="100" t="s">
        <v>165</v>
      </c>
    </row>
    <row r="51" spans="1:8" x14ac:dyDescent="0.25">
      <c r="A51" t="s">
        <v>169</v>
      </c>
      <c r="D51" s="99">
        <v>3500</v>
      </c>
      <c r="E51" s="100" t="s">
        <v>165</v>
      </c>
    </row>
    <row r="53" spans="1:8" x14ac:dyDescent="0.25">
      <c r="A53" t="s">
        <v>170</v>
      </c>
      <c r="B53" t="s">
        <v>171</v>
      </c>
      <c r="F53" t="s">
        <v>172</v>
      </c>
    </row>
    <row r="54" spans="1:8" x14ac:dyDescent="0.25">
      <c r="A54" t="s">
        <v>164</v>
      </c>
      <c r="B54">
        <v>1</v>
      </c>
      <c r="D54" s="79" t="s">
        <v>173</v>
      </c>
      <c r="E54" s="99">
        <f>D47</f>
        <v>15000</v>
      </c>
      <c r="F54">
        <v>60</v>
      </c>
      <c r="G54" s="101">
        <f t="shared" ref="G54:G58" si="4">E54*F54</f>
        <v>900000</v>
      </c>
    </row>
    <row r="55" spans="1:8" x14ac:dyDescent="0.25">
      <c r="A55" t="s">
        <v>166</v>
      </c>
      <c r="B55">
        <v>1</v>
      </c>
      <c r="D55" s="79" t="s">
        <v>173</v>
      </c>
      <c r="E55" s="99">
        <f t="shared" ref="E55:E58" si="5">D48</f>
        <v>5800</v>
      </c>
      <c r="F55">
        <v>60</v>
      </c>
      <c r="G55" s="101">
        <f t="shared" si="4"/>
        <v>348000</v>
      </c>
    </row>
    <row r="56" spans="1:8" x14ac:dyDescent="0.25">
      <c r="A56" t="s">
        <v>167</v>
      </c>
      <c r="B56">
        <v>1</v>
      </c>
      <c r="D56" s="79" t="s">
        <v>173</v>
      </c>
      <c r="E56" s="99">
        <f t="shared" si="5"/>
        <v>10000</v>
      </c>
      <c r="F56">
        <v>60</v>
      </c>
      <c r="G56" s="101">
        <f t="shared" si="4"/>
        <v>600000</v>
      </c>
    </row>
    <row r="57" spans="1:8" x14ac:dyDescent="0.25">
      <c r="A57" t="s">
        <v>168</v>
      </c>
      <c r="B57">
        <v>1</v>
      </c>
      <c r="D57" s="79" t="s">
        <v>173</v>
      </c>
      <c r="E57" s="99">
        <f t="shared" si="5"/>
        <v>2000</v>
      </c>
      <c r="F57">
        <v>60</v>
      </c>
      <c r="G57" s="101">
        <f t="shared" si="4"/>
        <v>120000</v>
      </c>
    </row>
    <row r="58" spans="1:8" x14ac:dyDescent="0.25">
      <c r="A58" t="s">
        <v>169</v>
      </c>
      <c r="B58">
        <v>1</v>
      </c>
      <c r="D58" s="79" t="s">
        <v>173</v>
      </c>
      <c r="E58" s="99">
        <f t="shared" si="5"/>
        <v>3500</v>
      </c>
      <c r="F58">
        <v>60</v>
      </c>
      <c r="G58" s="101">
        <f t="shared" si="4"/>
        <v>210000</v>
      </c>
    </row>
    <row r="59" spans="1:8" x14ac:dyDescent="0.25">
      <c r="G59" s="102">
        <f>SUM(G54:G58)</f>
        <v>2178000</v>
      </c>
    </row>
    <row r="61" spans="1:8" x14ac:dyDescent="0.25">
      <c r="G61" s="103">
        <f>G59/5924</f>
        <v>367.6569885212694</v>
      </c>
      <c r="H61" t="s">
        <v>183</v>
      </c>
    </row>
    <row r="62" spans="1:8" x14ac:dyDescent="0.25">
      <c r="F62" t="s">
        <v>175</v>
      </c>
      <c r="G62" s="103">
        <f>G61*1.2</f>
        <v>441.18838622552329</v>
      </c>
      <c r="H62" t="s">
        <v>174</v>
      </c>
    </row>
    <row r="64" spans="1:8" x14ac:dyDescent="0.25">
      <c r="A64" s="98" t="s">
        <v>184</v>
      </c>
    </row>
    <row r="65" spans="1:7" x14ac:dyDescent="0.25">
      <c r="A65" t="s">
        <v>185</v>
      </c>
    </row>
    <row r="66" spans="1:7" x14ac:dyDescent="0.25">
      <c r="A66" t="s">
        <v>186</v>
      </c>
    </row>
    <row r="68" spans="1:7" x14ac:dyDescent="0.25">
      <c r="A68" t="s">
        <v>187</v>
      </c>
      <c r="D68" s="99">
        <v>9025</v>
      </c>
      <c r="E68" s="100" t="s">
        <v>165</v>
      </c>
    </row>
    <row r="69" spans="1:7" x14ac:dyDescent="0.25">
      <c r="A69" t="s">
        <v>188</v>
      </c>
      <c r="D69" s="99">
        <v>3350</v>
      </c>
      <c r="E69" s="100" t="s">
        <v>165</v>
      </c>
    </row>
    <row r="70" spans="1:7" x14ac:dyDescent="0.25">
      <c r="A70" t="s">
        <v>189</v>
      </c>
      <c r="D70" s="99">
        <v>850</v>
      </c>
      <c r="E70" s="100" t="s">
        <v>165</v>
      </c>
    </row>
    <row r="71" spans="1:7" x14ac:dyDescent="0.25">
      <c r="A71" t="s">
        <v>190</v>
      </c>
      <c r="D71" s="99">
        <v>6000</v>
      </c>
      <c r="E71" s="100" t="s">
        <v>165</v>
      </c>
    </row>
    <row r="72" spans="1:7" x14ac:dyDescent="0.25">
      <c r="A72" t="s">
        <v>187</v>
      </c>
      <c r="D72" s="99">
        <v>9025</v>
      </c>
      <c r="E72" s="100" t="s">
        <v>165</v>
      </c>
    </row>
    <row r="73" spans="1:7" x14ac:dyDescent="0.25">
      <c r="A73" t="s">
        <v>191</v>
      </c>
      <c r="D73" s="99">
        <v>8550</v>
      </c>
      <c r="E73" s="100" t="s">
        <v>165</v>
      </c>
    </row>
    <row r="74" spans="1:7" x14ac:dyDescent="0.25">
      <c r="D74" s="99"/>
      <c r="E74" s="100"/>
    </row>
    <row r="75" spans="1:7" x14ac:dyDescent="0.25">
      <c r="A75" t="s">
        <v>170</v>
      </c>
      <c r="B75" t="s">
        <v>171</v>
      </c>
      <c r="F75" t="s">
        <v>172</v>
      </c>
    </row>
    <row r="76" spans="1:7" x14ac:dyDescent="0.25">
      <c r="A76" t="s">
        <v>187</v>
      </c>
      <c r="B76">
        <v>1</v>
      </c>
      <c r="D76" s="79" t="s">
        <v>173</v>
      </c>
      <c r="E76" s="99">
        <f>D68</f>
        <v>9025</v>
      </c>
      <c r="F76">
        <v>148</v>
      </c>
      <c r="G76" s="101">
        <f t="shared" ref="G76:G80" si="6">E76*F76</f>
        <v>1335700</v>
      </c>
    </row>
    <row r="77" spans="1:7" x14ac:dyDescent="0.25">
      <c r="A77" t="s">
        <v>188</v>
      </c>
      <c r="B77">
        <v>1</v>
      </c>
      <c r="D77" s="79" t="s">
        <v>173</v>
      </c>
      <c r="E77" s="99">
        <f>D69</f>
        <v>3350</v>
      </c>
      <c r="F77">
        <v>148</v>
      </c>
      <c r="G77" s="101">
        <f t="shared" si="6"/>
        <v>495800</v>
      </c>
    </row>
    <row r="78" spans="1:7" x14ac:dyDescent="0.25">
      <c r="A78" t="s">
        <v>189</v>
      </c>
      <c r="B78">
        <v>1</v>
      </c>
      <c r="D78" s="79" t="s">
        <v>173</v>
      </c>
      <c r="E78" s="99">
        <f>D70</f>
        <v>850</v>
      </c>
      <c r="F78">
        <v>148</v>
      </c>
      <c r="G78" s="101">
        <f t="shared" si="6"/>
        <v>125800</v>
      </c>
    </row>
    <row r="79" spans="1:7" x14ac:dyDescent="0.25">
      <c r="A79" t="s">
        <v>190</v>
      </c>
      <c r="B79">
        <v>1</v>
      </c>
      <c r="D79" s="79" t="s">
        <v>173</v>
      </c>
      <c r="E79" s="99">
        <f>D71</f>
        <v>6000</v>
      </c>
      <c r="F79">
        <v>148</v>
      </c>
      <c r="G79" s="101">
        <f t="shared" si="6"/>
        <v>888000</v>
      </c>
    </row>
    <row r="80" spans="1:7" x14ac:dyDescent="0.25">
      <c r="A80" t="s">
        <v>187</v>
      </c>
      <c r="B80">
        <v>1</v>
      </c>
      <c r="D80" s="79" t="s">
        <v>173</v>
      </c>
      <c r="E80" s="99">
        <f>D72</f>
        <v>9025</v>
      </c>
      <c r="F80">
        <v>148</v>
      </c>
      <c r="G80" s="101">
        <f t="shared" si="6"/>
        <v>1335700</v>
      </c>
    </row>
    <row r="81" spans="1:8" x14ac:dyDescent="0.25">
      <c r="A81" t="s">
        <v>191</v>
      </c>
      <c r="B81">
        <v>2</v>
      </c>
      <c r="D81" s="79" t="s">
        <v>173</v>
      </c>
      <c r="E81" s="99">
        <f t="shared" ref="E81" si="7">D73</f>
        <v>8550</v>
      </c>
      <c r="F81">
        <v>148</v>
      </c>
      <c r="G81" s="101">
        <f>E81*F81*B81</f>
        <v>2530800</v>
      </c>
    </row>
    <row r="82" spans="1:8" x14ac:dyDescent="0.25">
      <c r="G82" s="102">
        <f>SUM(G76:G81)</f>
        <v>6711800</v>
      </c>
    </row>
    <row r="84" spans="1:8" x14ac:dyDescent="0.25">
      <c r="G84" s="103">
        <f>G82/36900</f>
        <v>181.89159891598916</v>
      </c>
      <c r="H84" t="s">
        <v>174</v>
      </c>
    </row>
    <row r="85" spans="1:8" x14ac:dyDescent="0.25">
      <c r="F85" t="s">
        <v>175</v>
      </c>
      <c r="G85" s="103">
        <f>G84*1.2</f>
        <v>218.269918699187</v>
      </c>
      <c r="H85" t="s">
        <v>174</v>
      </c>
    </row>
    <row r="87" spans="1:8" x14ac:dyDescent="0.25">
      <c r="A87" s="98" t="s">
        <v>192</v>
      </c>
    </row>
    <row r="88" spans="1:8" x14ac:dyDescent="0.25">
      <c r="A88" t="s">
        <v>193</v>
      </c>
    </row>
    <row r="90" spans="1:8" x14ac:dyDescent="0.25">
      <c r="A90" s="100" t="s">
        <v>194</v>
      </c>
      <c r="D90" s="99">
        <f>8*(250)</f>
        <v>2000</v>
      </c>
      <c r="E90" s="100" t="s">
        <v>165</v>
      </c>
    </row>
    <row r="91" spans="1:8" x14ac:dyDescent="0.25">
      <c r="A91" t="s">
        <v>195</v>
      </c>
      <c r="D91" s="99">
        <v>7800</v>
      </c>
      <c r="E91" s="100" t="s">
        <v>165</v>
      </c>
    </row>
    <row r="92" spans="1:8" x14ac:dyDescent="0.25">
      <c r="A92" t="s">
        <v>196</v>
      </c>
      <c r="D92" s="99">
        <v>3500</v>
      </c>
      <c r="E92" s="100" t="s">
        <v>165</v>
      </c>
      <c r="G92" s="101"/>
    </row>
    <row r="93" spans="1:8" x14ac:dyDescent="0.25">
      <c r="A93" t="s">
        <v>197</v>
      </c>
      <c r="D93" s="99">
        <v>6000</v>
      </c>
      <c r="E93" s="100" t="s">
        <v>165</v>
      </c>
      <c r="F93" s="100"/>
    </row>
    <row r="94" spans="1:8" x14ac:dyDescent="0.25">
      <c r="A94" t="s">
        <v>187</v>
      </c>
      <c r="D94" s="99">
        <v>9025</v>
      </c>
      <c r="E94" s="100" t="s">
        <v>165</v>
      </c>
    </row>
    <row r="95" spans="1:8" x14ac:dyDescent="0.25">
      <c r="E95" s="99"/>
      <c r="F95" s="100"/>
    </row>
    <row r="96" spans="1:8" x14ac:dyDescent="0.25">
      <c r="A96" s="100" t="s">
        <v>194</v>
      </c>
      <c r="D96" s="79" t="s">
        <v>173</v>
      </c>
      <c r="E96" s="104">
        <f>D90</f>
        <v>2000</v>
      </c>
      <c r="F96">
        <v>6</v>
      </c>
      <c r="G96" s="101">
        <f>E96*F96</f>
        <v>12000</v>
      </c>
    </row>
    <row r="97" spans="1:8" x14ac:dyDescent="0.25">
      <c r="A97" t="s">
        <v>195</v>
      </c>
      <c r="D97" s="79" t="s">
        <v>173</v>
      </c>
      <c r="E97" s="99">
        <v>6700</v>
      </c>
      <c r="F97" s="100">
        <v>1</v>
      </c>
      <c r="G97" s="101">
        <f>E97*F97</f>
        <v>6700</v>
      </c>
    </row>
    <row r="98" spans="1:8" x14ac:dyDescent="0.25">
      <c r="A98" t="s">
        <v>197</v>
      </c>
      <c r="D98" s="79" t="s">
        <v>173</v>
      </c>
      <c r="E98" s="99">
        <v>6000</v>
      </c>
      <c r="F98" s="100">
        <v>2</v>
      </c>
      <c r="G98" s="101">
        <f>E98*F98</f>
        <v>12000</v>
      </c>
    </row>
    <row r="99" spans="1:8" x14ac:dyDescent="0.25">
      <c r="A99" t="s">
        <v>196</v>
      </c>
      <c r="D99" s="79" t="s">
        <v>173</v>
      </c>
      <c r="E99" s="99">
        <f>D92</f>
        <v>3500</v>
      </c>
      <c r="F99" s="100">
        <v>2</v>
      </c>
      <c r="G99" s="101">
        <f>E99*F99</f>
        <v>7000</v>
      </c>
    </row>
    <row r="100" spans="1:8" x14ac:dyDescent="0.25">
      <c r="A100" t="s">
        <v>187</v>
      </c>
      <c r="D100" s="79" t="s">
        <v>173</v>
      </c>
      <c r="E100" s="99">
        <v>9025</v>
      </c>
      <c r="F100" s="100">
        <v>1</v>
      </c>
      <c r="G100" s="101">
        <f>E100*F100</f>
        <v>9025</v>
      </c>
    </row>
    <row r="101" spans="1:8" x14ac:dyDescent="0.25">
      <c r="E101" s="99"/>
      <c r="F101" s="100"/>
      <c r="G101" s="102">
        <f>SUM(G96:G100)</f>
        <v>46725</v>
      </c>
    </row>
    <row r="102" spans="1:8" x14ac:dyDescent="0.25">
      <c r="E102" s="99"/>
      <c r="F102" s="100"/>
      <c r="G102" s="101"/>
    </row>
    <row r="103" spans="1:8" x14ac:dyDescent="0.25">
      <c r="E103" s="99"/>
      <c r="F103" s="100"/>
      <c r="G103" s="103">
        <f>G101/400</f>
        <v>116.8125</v>
      </c>
      <c r="H103" s="100" t="s">
        <v>156</v>
      </c>
    </row>
    <row r="104" spans="1:8" x14ac:dyDescent="0.25">
      <c r="F104" t="s">
        <v>175</v>
      </c>
      <c r="G104" s="103">
        <f>G103*1.2</f>
        <v>140.17499999999998</v>
      </c>
      <c r="H104" t="s">
        <v>174</v>
      </c>
    </row>
    <row r="106" spans="1:8" x14ac:dyDescent="0.25">
      <c r="A106" s="98" t="s">
        <v>198</v>
      </c>
    </row>
    <row r="107" spans="1:8" x14ac:dyDescent="0.25">
      <c r="A107" t="s">
        <v>199</v>
      </c>
    </row>
    <row r="109" spans="1:8" x14ac:dyDescent="0.25">
      <c r="A109" s="98" t="s">
        <v>200</v>
      </c>
    </row>
    <row r="110" spans="1:8" x14ac:dyDescent="0.25">
      <c r="A110" t="s">
        <v>199</v>
      </c>
    </row>
    <row r="113" spans="1:7" x14ac:dyDescent="0.25">
      <c r="A113" s="98" t="s">
        <v>201</v>
      </c>
    </row>
    <row r="114" spans="1:7" x14ac:dyDescent="0.25">
      <c r="A114" t="s">
        <v>202</v>
      </c>
    </row>
    <row r="116" spans="1:7" x14ac:dyDescent="0.25">
      <c r="A116" t="s">
        <v>203</v>
      </c>
      <c r="C116" s="99">
        <v>10450</v>
      </c>
      <c r="D116" s="100" t="s">
        <v>165</v>
      </c>
    </row>
    <row r="118" spans="1:7" x14ac:dyDescent="0.25">
      <c r="A118" t="s">
        <v>204</v>
      </c>
    </row>
    <row r="119" spans="1:7" x14ac:dyDescent="0.25">
      <c r="A119" t="s">
        <v>203</v>
      </c>
      <c r="D119" s="79" t="s">
        <v>173</v>
      </c>
      <c r="E119" s="99">
        <f>C116</f>
        <v>10450</v>
      </c>
      <c r="F119">
        <v>4</v>
      </c>
      <c r="G119" s="101">
        <f t="shared" ref="G119" si="8">E119*F119</f>
        <v>41800</v>
      </c>
    </row>
    <row r="120" spans="1:7" x14ac:dyDescent="0.25">
      <c r="D120" s="79"/>
      <c r="E120" s="99"/>
      <c r="G120" s="101"/>
    </row>
    <row r="121" spans="1:7" x14ac:dyDescent="0.25">
      <c r="A121" s="100" t="s">
        <v>205</v>
      </c>
      <c r="B121" s="103">
        <f>G119/36374</f>
        <v>1.1491724858415351</v>
      </c>
      <c r="C121" s="103"/>
    </row>
    <row r="122" spans="1:7" x14ac:dyDescent="0.25">
      <c r="A122" s="100"/>
      <c r="B122" s="103">
        <v>0.5</v>
      </c>
      <c r="C122" s="103" t="s">
        <v>206</v>
      </c>
    </row>
    <row r="123" spans="1:7" x14ac:dyDescent="0.25">
      <c r="A123" s="100"/>
      <c r="B123" s="103">
        <f>B121+B122</f>
        <v>1.6491724858415351</v>
      </c>
      <c r="C123" s="105" t="s">
        <v>174</v>
      </c>
    </row>
    <row r="124" spans="1:7" x14ac:dyDescent="0.25">
      <c r="A124" t="s">
        <v>175</v>
      </c>
      <c r="B124" s="103">
        <f>B123*1.2</f>
        <v>1.979006983009842</v>
      </c>
      <c r="C124" t="s">
        <v>174</v>
      </c>
    </row>
    <row r="125" spans="1:7" x14ac:dyDescent="0.25">
      <c r="A125" s="100"/>
      <c r="B125" s="103"/>
      <c r="C125" s="103"/>
    </row>
    <row r="126" spans="1:7" x14ac:dyDescent="0.25">
      <c r="A126" s="98" t="s">
        <v>207</v>
      </c>
    </row>
    <row r="127" spans="1:7" x14ac:dyDescent="0.25">
      <c r="A127" t="s">
        <v>236</v>
      </c>
    </row>
    <row r="129" spans="1:7" x14ac:dyDescent="0.25">
      <c r="A129" t="s">
        <v>237</v>
      </c>
      <c r="C129" s="110">
        <f>B124*2</f>
        <v>3.958013966019684</v>
      </c>
      <c r="D129" t="s">
        <v>174</v>
      </c>
    </row>
    <row r="131" spans="1:7" x14ac:dyDescent="0.25">
      <c r="A131" s="98" t="s">
        <v>209</v>
      </c>
    </row>
    <row r="132" spans="1:7" x14ac:dyDescent="0.25">
      <c r="A132" t="s">
        <v>202</v>
      </c>
    </row>
    <row r="134" spans="1:7" x14ac:dyDescent="0.25">
      <c r="A134" t="s">
        <v>210</v>
      </c>
      <c r="D134" s="99">
        <v>10450</v>
      </c>
      <c r="E134" s="100" t="s">
        <v>165</v>
      </c>
    </row>
    <row r="135" spans="1:7" x14ac:dyDescent="0.25">
      <c r="A135" t="s">
        <v>211</v>
      </c>
      <c r="D135" s="99">
        <v>4500</v>
      </c>
      <c r="E135" s="100" t="s">
        <v>165</v>
      </c>
    </row>
    <row r="136" spans="1:7" x14ac:dyDescent="0.25">
      <c r="A136" t="s">
        <v>191</v>
      </c>
      <c r="D136" s="99">
        <v>8550</v>
      </c>
      <c r="E136" s="100" t="s">
        <v>165</v>
      </c>
    </row>
    <row r="137" spans="1:7" x14ac:dyDescent="0.25">
      <c r="A137" t="s">
        <v>197</v>
      </c>
      <c r="D137" s="99">
        <v>6000</v>
      </c>
      <c r="E137" s="100" t="s">
        <v>165</v>
      </c>
      <c r="F137" s="100"/>
    </row>
    <row r="138" spans="1:7" x14ac:dyDescent="0.25">
      <c r="A138" t="s">
        <v>212</v>
      </c>
      <c r="D138" s="99">
        <v>4000</v>
      </c>
      <c r="E138" s="100" t="s">
        <v>165</v>
      </c>
    </row>
    <row r="141" spans="1:7" x14ac:dyDescent="0.25">
      <c r="A141" t="s">
        <v>208</v>
      </c>
    </row>
    <row r="142" spans="1:7" x14ac:dyDescent="0.25">
      <c r="A142" t="s">
        <v>213</v>
      </c>
    </row>
    <row r="143" spans="1:7" x14ac:dyDescent="0.25">
      <c r="B143" t="s">
        <v>171</v>
      </c>
    </row>
    <row r="144" spans="1:7" x14ac:dyDescent="0.25">
      <c r="A144" t="s">
        <v>210</v>
      </c>
      <c r="B144">
        <v>1</v>
      </c>
      <c r="D144" s="79" t="s">
        <v>173</v>
      </c>
      <c r="E144" s="99">
        <f t="shared" ref="E144:E145" si="9">D134*B144</f>
        <v>10450</v>
      </c>
      <c r="F144">
        <v>9</v>
      </c>
      <c r="G144" s="101">
        <f>E144*F144</f>
        <v>94050</v>
      </c>
    </row>
    <row r="145" spans="1:8" x14ac:dyDescent="0.25">
      <c r="A145" t="s">
        <v>211</v>
      </c>
      <c r="B145">
        <v>1</v>
      </c>
      <c r="D145" s="79" t="s">
        <v>173</v>
      </c>
      <c r="E145" s="99">
        <f t="shared" si="9"/>
        <v>4500</v>
      </c>
      <c r="F145">
        <v>9</v>
      </c>
      <c r="G145" s="101">
        <f t="shared" ref="G145:G148" si="10">E145*F145</f>
        <v>40500</v>
      </c>
    </row>
    <row r="146" spans="1:8" x14ac:dyDescent="0.25">
      <c r="A146" t="s">
        <v>191</v>
      </c>
      <c r="B146">
        <v>2</v>
      </c>
      <c r="D146" s="79" t="s">
        <v>173</v>
      </c>
      <c r="E146" s="99">
        <f>D136*B146</f>
        <v>17100</v>
      </c>
      <c r="F146">
        <v>9</v>
      </c>
      <c r="G146" s="101">
        <f t="shared" si="10"/>
        <v>153900</v>
      </c>
    </row>
    <row r="147" spans="1:8" x14ac:dyDescent="0.25">
      <c r="A147" t="s">
        <v>197</v>
      </c>
      <c r="B147">
        <v>1</v>
      </c>
      <c r="D147" s="79" t="s">
        <v>173</v>
      </c>
      <c r="E147" s="99">
        <f t="shared" ref="E147:E148" si="11">D137</f>
        <v>6000</v>
      </c>
      <c r="F147">
        <v>9</v>
      </c>
      <c r="G147" s="101">
        <f t="shared" si="10"/>
        <v>54000</v>
      </c>
    </row>
    <row r="148" spans="1:8" x14ac:dyDescent="0.25">
      <c r="A148" t="s">
        <v>212</v>
      </c>
      <c r="B148">
        <v>1</v>
      </c>
      <c r="D148" s="79" t="s">
        <v>173</v>
      </c>
      <c r="E148" s="99">
        <f t="shared" si="11"/>
        <v>4000</v>
      </c>
      <c r="F148">
        <v>9</v>
      </c>
      <c r="G148" s="101">
        <f t="shared" si="10"/>
        <v>36000</v>
      </c>
    </row>
    <row r="149" spans="1:8" x14ac:dyDescent="0.25">
      <c r="G149" s="102">
        <f>SUM(G144:G148)</f>
        <v>378450</v>
      </c>
    </row>
    <row r="150" spans="1:8" x14ac:dyDescent="0.25">
      <c r="A150" s="100"/>
      <c r="B150" s="103"/>
      <c r="C150" s="105"/>
    </row>
    <row r="151" spans="1:8" x14ac:dyDescent="0.25">
      <c r="A151" t="s">
        <v>210</v>
      </c>
      <c r="B151">
        <v>1</v>
      </c>
      <c r="D151" s="79" t="s">
        <v>173</v>
      </c>
      <c r="E151" s="99">
        <f>D134</f>
        <v>10450</v>
      </c>
      <c r="F151">
        <v>9</v>
      </c>
      <c r="G151" s="101">
        <f>E151*F151</f>
        <v>94050</v>
      </c>
    </row>
    <row r="152" spans="1:8" x14ac:dyDescent="0.25">
      <c r="A152" s="100"/>
      <c r="B152" s="103"/>
      <c r="C152" s="105"/>
    </row>
    <row r="153" spans="1:8" x14ac:dyDescent="0.25">
      <c r="A153" s="100"/>
      <c r="B153" s="103"/>
      <c r="C153" s="105"/>
      <c r="G153" s="101">
        <f>G149+G151</f>
        <v>472500</v>
      </c>
    </row>
    <row r="154" spans="1:8" x14ac:dyDescent="0.25">
      <c r="A154" s="100"/>
      <c r="B154" s="103"/>
      <c r="C154" s="105"/>
      <c r="G154" s="103">
        <f>G153/170506</f>
        <v>2.7711634781180723</v>
      </c>
      <c r="H154" t="s">
        <v>174</v>
      </c>
    </row>
    <row r="155" spans="1:8" x14ac:dyDescent="0.25">
      <c r="A155" s="100"/>
      <c r="B155" s="103"/>
      <c r="C155" s="105"/>
    </row>
    <row r="156" spans="1:8" x14ac:dyDescent="0.25">
      <c r="A156" s="100" t="s">
        <v>214</v>
      </c>
      <c r="B156" s="103"/>
      <c r="C156" s="105"/>
      <c r="D156">
        <f>17506*0.03</f>
        <v>525.17999999999995</v>
      </c>
      <c r="E156" t="s">
        <v>215</v>
      </c>
      <c r="F156" s="106">
        <v>1650</v>
      </c>
      <c r="G156" s="106">
        <f>D156*F156</f>
        <v>866546.99999999988</v>
      </c>
    </row>
    <row r="157" spans="1:8" x14ac:dyDescent="0.25">
      <c r="A157" s="100"/>
      <c r="B157" s="103"/>
      <c r="C157" s="105"/>
      <c r="G157" s="107">
        <f>G156/170506</f>
        <v>5.082208250736044</v>
      </c>
      <c r="H157" t="s">
        <v>174</v>
      </c>
    </row>
    <row r="158" spans="1:8" x14ac:dyDescent="0.25">
      <c r="A158" s="100"/>
      <c r="B158" s="103"/>
      <c r="C158" s="105"/>
      <c r="G158" s="107"/>
    </row>
    <row r="159" spans="1:8" x14ac:dyDescent="0.25">
      <c r="A159" s="100" t="s">
        <v>216</v>
      </c>
      <c r="B159" s="103"/>
      <c r="C159" s="105"/>
      <c r="G159" s="103">
        <f>G154+G157</f>
        <v>7.8533717288541158</v>
      </c>
      <c r="H159" t="s">
        <v>174</v>
      </c>
    </row>
    <row r="160" spans="1:8" x14ac:dyDescent="0.25">
      <c r="F160" t="s">
        <v>175</v>
      </c>
      <c r="G160" s="103">
        <f>G159*1.2</f>
        <v>9.4240460746249379</v>
      </c>
      <c r="H160" t="s">
        <v>174</v>
      </c>
    </row>
    <row r="161" spans="1:7" x14ac:dyDescent="0.25">
      <c r="A161" s="100"/>
      <c r="B161" s="103"/>
      <c r="C161" s="105"/>
      <c r="G161" s="103"/>
    </row>
    <row r="162" spans="1:7" x14ac:dyDescent="0.25">
      <c r="A162" s="108" t="s">
        <v>217</v>
      </c>
      <c r="B162" s="103"/>
      <c r="C162" s="105"/>
      <c r="G162" s="103"/>
    </row>
    <row r="163" spans="1:7" x14ac:dyDescent="0.25">
      <c r="A163" t="s">
        <v>199</v>
      </c>
    </row>
    <row r="164" spans="1:7" x14ac:dyDescent="0.25">
      <c r="A164" s="100"/>
      <c r="B164" s="103"/>
      <c r="C164" s="105"/>
      <c r="G164" s="103"/>
    </row>
    <row r="165" spans="1:7" x14ac:dyDescent="0.25">
      <c r="A165" s="109" t="s">
        <v>218</v>
      </c>
      <c r="B165" s="103"/>
      <c r="C165" s="105"/>
      <c r="G165" s="103"/>
    </row>
    <row r="166" spans="1:7" x14ac:dyDescent="0.25">
      <c r="A166" t="s">
        <v>199</v>
      </c>
    </row>
    <row r="167" spans="1:7" x14ac:dyDescent="0.25">
      <c r="A167" s="100"/>
      <c r="B167" s="103"/>
      <c r="C167" s="105"/>
      <c r="G167" s="103"/>
    </row>
    <row r="168" spans="1:7" x14ac:dyDescent="0.25">
      <c r="A168" s="108" t="s">
        <v>219</v>
      </c>
      <c r="B168" s="103"/>
      <c r="C168" s="105"/>
      <c r="G168" s="103"/>
    </row>
    <row r="169" spans="1:7" x14ac:dyDescent="0.25">
      <c r="A169" t="s">
        <v>199</v>
      </c>
      <c r="B169" s="103"/>
      <c r="C169" s="105"/>
      <c r="G169" s="103"/>
    </row>
    <row r="170" spans="1:7" x14ac:dyDescent="0.25">
      <c r="A170" s="100"/>
      <c r="B170" s="103"/>
      <c r="C170" s="105"/>
      <c r="G170" s="103"/>
    </row>
    <row r="171" spans="1:7" x14ac:dyDescent="0.25">
      <c r="A171" s="100"/>
      <c r="B171" s="103"/>
      <c r="C171" s="105"/>
      <c r="G171" s="103"/>
    </row>
    <row r="173" spans="1:7" x14ac:dyDescent="0.25">
      <c r="A173" s="98" t="s">
        <v>272</v>
      </c>
    </row>
    <row r="174" spans="1:7" x14ac:dyDescent="0.25">
      <c r="A174" t="s">
        <v>220</v>
      </c>
    </row>
    <row r="175" spans="1:7" x14ac:dyDescent="0.25">
      <c r="A175" t="s">
        <v>221</v>
      </c>
    </row>
    <row r="176" spans="1:7" x14ac:dyDescent="0.25">
      <c r="A176" s="98"/>
    </row>
    <row r="177" spans="1:8" x14ac:dyDescent="0.25">
      <c r="A177" t="s">
        <v>203</v>
      </c>
      <c r="C177" s="99">
        <v>10450</v>
      </c>
      <c r="D177" s="100" t="s">
        <v>165</v>
      </c>
    </row>
    <row r="178" spans="1:8" x14ac:dyDescent="0.25">
      <c r="A178" s="98"/>
    </row>
    <row r="179" spans="1:8" x14ac:dyDescent="0.25">
      <c r="A179" t="s">
        <v>271</v>
      </c>
    </row>
    <row r="180" spans="1:8" x14ac:dyDescent="0.25">
      <c r="A180" t="s">
        <v>222</v>
      </c>
    </row>
    <row r="181" spans="1:8" x14ac:dyDescent="0.25">
      <c r="A181" t="s">
        <v>223</v>
      </c>
    </row>
    <row r="183" spans="1:8" x14ac:dyDescent="0.25">
      <c r="A183" t="s">
        <v>203</v>
      </c>
      <c r="D183" s="79" t="s">
        <v>173</v>
      </c>
      <c r="E183" s="99">
        <f>C177</f>
        <v>10450</v>
      </c>
      <c r="F183">
        <v>48</v>
      </c>
      <c r="G183" s="101">
        <f t="shared" ref="G183" si="12">E183*F183</f>
        <v>501600</v>
      </c>
    </row>
    <row r="184" spans="1:8" x14ac:dyDescent="0.25">
      <c r="D184" s="79"/>
      <c r="E184" s="99"/>
      <c r="G184" s="101"/>
    </row>
    <row r="185" spans="1:8" x14ac:dyDescent="0.25">
      <c r="A185" s="100" t="s">
        <v>216</v>
      </c>
      <c r="B185" s="103"/>
      <c r="C185" s="105"/>
      <c r="G185" s="103">
        <f>G183/32761</f>
        <v>15.310887946033393</v>
      </c>
      <c r="H185" t="s">
        <v>174</v>
      </c>
    </row>
    <row r="186" spans="1:8" x14ac:dyDescent="0.25">
      <c r="F186">
        <v>1.3</v>
      </c>
      <c r="G186" s="103">
        <f>G185*1.3</f>
        <v>19.904154329843411</v>
      </c>
      <c r="H186" t="s">
        <v>174</v>
      </c>
    </row>
    <row r="188" spans="1:8" x14ac:dyDescent="0.25">
      <c r="A188" s="98" t="s">
        <v>224</v>
      </c>
    </row>
    <row r="189" spans="1:8" x14ac:dyDescent="0.25">
      <c r="A189" t="s">
        <v>225</v>
      </c>
    </row>
    <row r="191" spans="1:8" x14ac:dyDescent="0.25">
      <c r="A191" t="s">
        <v>187</v>
      </c>
      <c r="C191" s="99">
        <v>9025</v>
      </c>
      <c r="D191" s="100" t="s">
        <v>165</v>
      </c>
    </row>
    <row r="192" spans="1:8" x14ac:dyDescent="0.25">
      <c r="A192" t="s">
        <v>226</v>
      </c>
      <c r="C192" s="99">
        <v>8550</v>
      </c>
      <c r="D192" s="100" t="s">
        <v>227</v>
      </c>
    </row>
    <row r="193" spans="1:6" x14ac:dyDescent="0.25">
      <c r="A193" t="s">
        <v>203</v>
      </c>
      <c r="C193" s="99">
        <v>10450</v>
      </c>
      <c r="D193" s="100" t="s">
        <v>165</v>
      </c>
    </row>
    <row r="195" spans="1:6" x14ac:dyDescent="0.25">
      <c r="A195" t="s">
        <v>228</v>
      </c>
    </row>
    <row r="196" spans="1:6" x14ac:dyDescent="0.25">
      <c r="A196" t="s">
        <v>229</v>
      </c>
    </row>
    <row r="198" spans="1:6" x14ac:dyDescent="0.25">
      <c r="A198" t="s">
        <v>230</v>
      </c>
      <c r="D198" s="79" t="s">
        <v>173</v>
      </c>
      <c r="E198" s="99">
        <f>C191</f>
        <v>9025</v>
      </c>
    </row>
    <row r="199" spans="1:6" x14ac:dyDescent="0.25">
      <c r="A199" t="s">
        <v>231</v>
      </c>
      <c r="D199" s="79" t="s">
        <v>173</v>
      </c>
      <c r="E199" s="99">
        <f>C192*4</f>
        <v>34200</v>
      </c>
    </row>
    <row r="200" spans="1:6" x14ac:dyDescent="0.25">
      <c r="A200" t="s">
        <v>203</v>
      </c>
      <c r="D200" s="79" t="s">
        <v>173</v>
      </c>
      <c r="E200" s="99">
        <f>C193</f>
        <v>10450</v>
      </c>
    </row>
    <row r="201" spans="1:6" x14ac:dyDescent="0.25">
      <c r="E201" s="102">
        <f>SUM(E198:E200)</f>
        <v>53675</v>
      </c>
    </row>
    <row r="203" spans="1:6" x14ac:dyDescent="0.25">
      <c r="A203" s="100" t="s">
        <v>216</v>
      </c>
      <c r="B203" s="103"/>
      <c r="E203" s="103">
        <f>E201/2400</f>
        <v>22.364583333333332</v>
      </c>
      <c r="F203" t="s">
        <v>174</v>
      </c>
    </row>
    <row r="204" spans="1:6" x14ac:dyDescent="0.25">
      <c r="D204" t="s">
        <v>175</v>
      </c>
      <c r="E204" s="103">
        <f>E203*1.2</f>
        <v>26.837499999999999</v>
      </c>
      <c r="F204" t="s">
        <v>174</v>
      </c>
    </row>
    <row r="205" spans="1:6" x14ac:dyDescent="0.25">
      <c r="E205" s="103"/>
    </row>
    <row r="206" spans="1:6" x14ac:dyDescent="0.25">
      <c r="A206" s="98" t="s">
        <v>232</v>
      </c>
    </row>
    <row r="207" spans="1:6" x14ac:dyDescent="0.25">
      <c r="A207" t="s">
        <v>225</v>
      </c>
    </row>
    <row r="209" spans="1:6" x14ac:dyDescent="0.25">
      <c r="A209" t="s">
        <v>187</v>
      </c>
      <c r="C209" s="99">
        <v>9025</v>
      </c>
      <c r="D209" s="100" t="s">
        <v>165</v>
      </c>
    </row>
    <row r="210" spans="1:6" x14ac:dyDescent="0.25">
      <c r="A210" t="s">
        <v>226</v>
      </c>
      <c r="C210" s="99">
        <v>8550</v>
      </c>
      <c r="D210" s="100" t="s">
        <v>227</v>
      </c>
    </row>
    <row r="211" spans="1:6" x14ac:dyDescent="0.25">
      <c r="A211" t="s">
        <v>203</v>
      </c>
      <c r="C211" s="99">
        <v>10450</v>
      </c>
      <c r="D211" s="100" t="s">
        <v>165</v>
      </c>
    </row>
    <row r="213" spans="1:6" x14ac:dyDescent="0.25">
      <c r="A213" t="s">
        <v>228</v>
      </c>
    </row>
    <row r="214" spans="1:6" x14ac:dyDescent="0.25">
      <c r="A214" t="s">
        <v>233</v>
      </c>
    </row>
    <row r="216" spans="1:6" x14ac:dyDescent="0.25">
      <c r="A216" t="s">
        <v>230</v>
      </c>
      <c r="D216" s="79" t="s">
        <v>173</v>
      </c>
      <c r="E216" s="99">
        <f>C209</f>
        <v>9025</v>
      </c>
    </row>
    <row r="217" spans="1:6" x14ac:dyDescent="0.25">
      <c r="A217" t="s">
        <v>234</v>
      </c>
      <c r="D217" s="79" t="s">
        <v>173</v>
      </c>
      <c r="E217" s="99">
        <f>C210*3</f>
        <v>25650</v>
      </c>
    </row>
    <row r="218" spans="1:6" x14ac:dyDescent="0.25">
      <c r="A218" t="s">
        <v>203</v>
      </c>
      <c r="D218" s="79" t="s">
        <v>173</v>
      </c>
      <c r="E218" s="99">
        <f>C211</f>
        <v>10450</v>
      </c>
    </row>
    <row r="219" spans="1:6" x14ac:dyDescent="0.25">
      <c r="E219" s="102">
        <f>SUM(E216:E218)</f>
        <v>45125</v>
      </c>
    </row>
    <row r="221" spans="1:6" x14ac:dyDescent="0.25">
      <c r="A221" s="100" t="s">
        <v>216</v>
      </c>
      <c r="B221" s="103"/>
      <c r="E221" s="103">
        <f>E219/2400</f>
        <v>18.802083333333332</v>
      </c>
      <c r="F221" t="s">
        <v>174</v>
      </c>
    </row>
    <row r="222" spans="1:6" x14ac:dyDescent="0.25">
      <c r="D222" t="s">
        <v>175</v>
      </c>
      <c r="E222" s="103">
        <f>E221*1.2</f>
        <v>22.562499999999996</v>
      </c>
      <c r="F222" t="s">
        <v>174</v>
      </c>
    </row>
    <row r="223" spans="1:6" x14ac:dyDescent="0.25">
      <c r="E223" s="103"/>
    </row>
    <row r="225" spans="1:1" x14ac:dyDescent="0.25">
      <c r="A225" s="98" t="s">
        <v>235</v>
      </c>
    </row>
    <row r="226" spans="1:1" x14ac:dyDescent="0.25">
      <c r="A226" t="s">
        <v>199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0D7F3C916111418C1403B14FB24118" ma:contentTypeVersion="8" ma:contentTypeDescription="Create a new document." ma:contentTypeScope="" ma:versionID="0c70dc0a6b15dd0a4a65d12bc0a53ecd">
  <xsd:schema xmlns:xsd="http://www.w3.org/2001/XMLSchema" xmlns:xs="http://www.w3.org/2001/XMLSchema" xmlns:p="http://schemas.microsoft.com/office/2006/metadata/properties" xmlns:ns2="71c621e5-640b-4df6-aea6-bdae6a5ba8e2" targetNamespace="http://schemas.microsoft.com/office/2006/metadata/properties" ma:root="true" ma:fieldsID="572980d3355717af428efe167bf4e82a" ns2:_="">
    <xsd:import namespace="71c621e5-640b-4df6-aea6-bdae6a5ba8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621e5-640b-4df6-aea6-bdae6a5ba8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83E76E-A7DC-4DE2-83A6-42A0E4BC805A}"/>
</file>

<file path=customXml/itemProps2.xml><?xml version="1.0" encoding="utf-8"?>
<ds:datastoreItem xmlns:ds="http://schemas.openxmlformats.org/officeDocument/2006/customXml" ds:itemID="{A9E330CA-6E8C-432A-8907-460CD7A65D1D}"/>
</file>

<file path=customXml/itemProps3.xml><?xml version="1.0" encoding="utf-8"?>
<ds:datastoreItem xmlns:ds="http://schemas.openxmlformats.org/officeDocument/2006/customXml" ds:itemID="{DD8A4357-B197-4574-ACD0-7C539E8DE3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Annual Rehabilitation Plan</vt:lpstr>
      <vt:lpstr>Final Rehabilitation Plan</vt:lpstr>
      <vt:lpstr>Itemised Rates - June 2021</vt:lpstr>
      <vt:lpstr>Rate 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Ferdi Pieterse</dc:creator>
  <cp:lastModifiedBy>Heleen Bredenhann</cp:lastModifiedBy>
  <cp:lastPrinted>2019-04-15T14:17:17Z</cp:lastPrinted>
  <dcterms:created xsi:type="dcterms:W3CDTF">2016-03-09T13:22:05Z</dcterms:created>
  <dcterms:modified xsi:type="dcterms:W3CDTF">2021-09-03T08:11:41Z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0x010100320D7F3C916111418C1403B14FB24118</vt:lpwstr>
  </property>
</Properties>
</file>